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53.xml" ContentType="application/vnd.openxmlformats-officedocument.spreadsheetml.worksheet+xml"/>
  <Override PartName="/xl/worksheets/sheet71.xml" ContentType="application/vnd.openxmlformats-officedocument.spreadsheetml.worksheet+xml"/>
  <Override PartName="/xl/worksheets/sheet82.xml" ContentType="application/vnd.openxmlformats-officedocument.spreadsheetml.worksheet+xml"/>
  <Override PartName="/xl/worksheets/sheet13.xml" ContentType="application/vnd.openxmlformats-officedocument.spreadsheetml.worksheet+xml"/>
  <Override PartName="/xl/worksheets/sheet42.xml" ContentType="application/vnd.openxmlformats-officedocument.spreadsheetml.worksheet+xml"/>
  <Override PartName="/xl/worksheets/sheet60.xml" ContentType="application/vnd.openxmlformats-officedocument.spreadsheetml.worksheet+xml"/>
  <Override PartName="/xl/styles.xml" ContentType="application/vnd.openxmlformats-officedocument.spreadsheetml.styles+xml"/>
  <Override PartName="/xl/drawings/drawing6.xml" ContentType="application/vnd.openxmlformats-officedocument.drawing+xml"/>
  <Override PartName="/xl/worksheets/sheet7.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Default Extension="xml" ContentType="application/xml"/>
  <Override PartName="/xl/drawings/drawing2.xml" ContentType="application/vnd.openxmlformats-officedocument.drawing+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69.xml" ContentType="application/vnd.openxmlformats-officedocument.spreadsheetml.worksheet+xml"/>
  <Override PartName="/xl/worksheets/sheet78.xml" ContentType="application/vnd.openxmlformats-officedocument.spreadsheetml.worksheet+xml"/>
  <Override PartName="/xl/worksheets/sheet87.xml" ContentType="application/vnd.openxmlformats-officedocument.spreadsheetml.worksheet+xml"/>
  <Override PartName="/xl/externalLinks/externalLink1.xml" ContentType="application/vnd.openxmlformats-officedocument.spreadsheetml.externalLink+xml"/>
  <Override PartName="/xl/worksheets/sheet29.xml" ContentType="application/vnd.openxmlformats-officedocument.spreadsheetml.worksheet+xml"/>
  <Override PartName="/xl/worksheets/sheet38.xml" ContentType="application/vnd.openxmlformats-officedocument.spreadsheetml.worksheet+xml"/>
  <Override PartName="/xl/worksheets/sheet47.xml" ContentType="application/vnd.openxmlformats-officedocument.spreadsheetml.worksheet+xml"/>
  <Override PartName="/xl/worksheets/sheet58.xml" ContentType="application/vnd.openxmlformats-officedocument.spreadsheetml.worksheet+xml"/>
  <Override PartName="/xl/worksheets/sheet67.xml" ContentType="application/vnd.openxmlformats-officedocument.spreadsheetml.worksheet+xml"/>
  <Override PartName="/xl/worksheets/sheet76.xml" ContentType="application/vnd.openxmlformats-officedocument.spreadsheetml.worksheet+xml"/>
  <Override PartName="/xl/worksheets/sheet85.xml" ContentType="application/vnd.openxmlformats-officedocument.spreadsheetml.worksheet+xml"/>
  <Override PartName="/xl/sharedStrings.xml" ContentType="application/vnd.openxmlformats-officedocument.spreadsheetml.sharedStrings+xml"/>
  <Default Extension="doc" ContentType="application/msword"/>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45.xml" ContentType="application/vnd.openxmlformats-officedocument.spreadsheetml.worksheet+xml"/>
  <Override PartName="/xl/worksheets/sheet54.xml" ContentType="application/vnd.openxmlformats-officedocument.spreadsheetml.worksheet+xml"/>
  <Override PartName="/xl/worksheets/sheet56.xml" ContentType="application/vnd.openxmlformats-officedocument.spreadsheetml.worksheet+xml"/>
  <Override PartName="/xl/worksheets/sheet65.xml" ContentType="application/vnd.openxmlformats-officedocument.spreadsheetml.worksheet+xml"/>
  <Override PartName="/xl/worksheets/sheet74.xml" ContentType="application/vnd.openxmlformats-officedocument.spreadsheetml.worksheet+xml"/>
  <Override PartName="/xl/worksheets/sheet83.xml" ContentType="application/vnd.openxmlformats-officedocument.spreadsheetml.worksheet+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worksheets/sheet72.xml" ContentType="application/vnd.openxmlformats-officedocument.spreadsheetml.worksheet+xml"/>
  <Override PartName="/xl/worksheets/sheet81.xml" ContentType="application/vnd.openxmlformats-officedocument.spreadsheetml.worksheet+xml"/>
  <Override PartName="/xl/worksheets/sheet90.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70.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jpeg" ContentType="image/jpeg"/>
  <Default Extension="emf" ContentType="image/x-emf"/>
  <Override PartName="/xl/drawings/drawing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mbeddings/oleObject1.bin" ContentType="application/vnd.openxmlformats-officedocument.oleObject"/>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59.xml" ContentType="application/vnd.openxmlformats-officedocument.spreadsheetml.worksheet+xml"/>
  <Override PartName="/xl/worksheets/sheet68.xml" ContentType="application/vnd.openxmlformats-officedocument.spreadsheetml.worksheet+xml"/>
  <Override PartName="/xl/worksheets/sheet77.xml" ContentType="application/vnd.openxmlformats-officedocument.spreadsheetml.worksheet+xml"/>
  <Override PartName="/xl/worksheets/sheet79.xml" ContentType="application/vnd.openxmlformats-officedocument.spreadsheetml.worksheet+xml"/>
  <Override PartName="/xl/worksheets/sheet88.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66.xml" ContentType="application/vnd.openxmlformats-officedocument.spreadsheetml.worksheet+xml"/>
  <Override PartName="/xl/worksheets/sheet75.xml" ContentType="application/vnd.openxmlformats-officedocument.spreadsheetml.worksheet+xml"/>
  <Override PartName="/xl/worksheets/sheet8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xl/worksheets/sheet55.xml" ContentType="application/vnd.openxmlformats-officedocument.spreadsheetml.worksheet+xml"/>
  <Override PartName="/xl/worksheets/sheet64.xml" ContentType="application/vnd.openxmlformats-officedocument.spreadsheetml.worksheet+xml"/>
  <Override PartName="/xl/worksheets/sheet73.xml" ContentType="application/vnd.openxmlformats-officedocument.spreadsheetml.worksheet+xml"/>
  <Override PartName="/xl/worksheets/sheet84.xml" ContentType="application/vnd.openxmlformats-officedocument.spreadsheetml.worksheet+xml"/>
  <Override PartName="/docProps/core.xml" ContentType="application/vnd.openxmlformats-package.core-properties+xml"/>
  <Override PartName="/xl/worksheets/sheet15.xml" ContentType="application/vnd.openxmlformats-officedocument.spreadsheetml.worksheet+xml"/>
  <Override PartName="/xl/worksheets/sheet44.xml" ContentType="application/vnd.openxmlformats-officedocument.spreadsheetml.worksheet+xml"/>
  <Override PartName="/xl/worksheets/sheet62.xml" ContentType="application/vnd.openxmlformats-officedocument.spreadsheetml.worksheet+xml"/>
  <Override PartName="/xl/worksheets/sheet91.xml" ContentType="application/vnd.openxmlformats-officedocument.spreadsheetml.worksheet+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51.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drawings/drawing8.xml" ContentType="application/vnd.openxmlformats-officedocument.drawing+xml"/>
  <Override PartName="/xl/worksheets/sheet11.xml" ContentType="application/vnd.openxmlformats-officedocument.spreadsheetml.worksheet+xml"/>
  <Override PartName="/xl/worksheets/sheet40.xml" ContentType="application/vnd.openxmlformats-officedocument.spreadsheetml.worksheet+xml"/>
  <Default Extension="wmf" ContentType="image/x-wmf"/>
  <Override PartName="/xl/drawings/drawing4.xml" ContentType="application/vnd.openxmlformats-officedocument.drawing+xml"/>
  <Default Extension="rels" ContentType="application/vnd.openxmlformats-package.relationships+xml"/>
  <Override PartName="/xl/worksheets/sheet5.xml" ContentType="application/vnd.openxmlformats-officedocument.spreadsheetml.worksheet+xml"/>
  <Override PartName="/xl/worksheets/sheet89.xml" ContentType="application/vnd.openxmlformats-officedocument.spreadsheetml.worksheet+xml"/>
  <Override PartName="/xl/externalLinks/externalLink3.xml" ContentType="application/vnd.openxmlformats-officedocument.spreadsheetml.externalLink+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240" yWindow="30" windowWidth="9720" windowHeight="5895" tabRatio="842"/>
  </bookViews>
  <sheets>
    <sheet name="Map" sheetId="119" r:id="rId1"/>
    <sheet name="Cover Page" sheetId="126" r:id="rId2"/>
    <sheet name="PREFACE" sheetId="149" r:id="rId3"/>
    <sheet name="Contents" sheetId="109" r:id="rId4"/>
    <sheet name="At a glance" sheetId="120" r:id="rId5"/>
    <sheet name="1.1,1.2" sheetId="2" r:id="rId6"/>
    <sheet name="1.3,1.4" sheetId="4" r:id="rId7"/>
    <sheet name="2.1" sheetId="6" r:id="rId8"/>
    <sheet name="2.1a,2.1b" sheetId="9" r:id="rId9"/>
    <sheet name="2.2" sheetId="145" r:id="rId10"/>
    <sheet name="2.3" sheetId="10" r:id="rId11"/>
    <sheet name="2.4a" sheetId="139" r:id="rId12"/>
    <sheet name="2.4b" sheetId="118" r:id="rId13"/>
    <sheet name="2.5a" sheetId="14" r:id="rId14"/>
    <sheet name="2.5b" sheetId="135" r:id="rId15"/>
    <sheet name="2.6" sheetId="16" r:id="rId16"/>
    <sheet name="2.7" sheetId="17" r:id="rId17"/>
    <sheet name="2.8" sheetId="18" r:id="rId18"/>
    <sheet name="2.9,2.10" sheetId="19" r:id="rId19"/>
    <sheet name="2.10a" sheetId="146" r:id="rId20"/>
    <sheet name="2.11" sheetId="21" r:id="rId21"/>
    <sheet name="3.1" sheetId="23" r:id="rId22"/>
    <sheet name="3.2" sheetId="24" r:id="rId23"/>
    <sheet name="3.2a" sheetId="25" r:id="rId24"/>
    <sheet name="3.3" sheetId="26" r:id="rId25"/>
    <sheet name="3.3a" sheetId="128" r:id="rId26"/>
    <sheet name="4.1a" sheetId="27" r:id="rId27"/>
    <sheet name="4.1b" sheetId="28" r:id="rId28"/>
    <sheet name="4.1c" sheetId="29" r:id="rId29"/>
    <sheet name="4.2a" sheetId="30" r:id="rId30"/>
    <sheet name="4.2b" sheetId="31" r:id="rId31"/>
    <sheet name="4.2c" sheetId="32" r:id="rId32"/>
    <sheet name="4.3a" sheetId="33" r:id="rId33"/>
    <sheet name="4.3b" sheetId="34" r:id="rId34"/>
    <sheet name="4.3c" sheetId="35" r:id="rId35"/>
    <sheet name="4.4" sheetId="37" r:id="rId36"/>
    <sheet name="4.5" sheetId="158" r:id="rId37"/>
    <sheet name="4.6" sheetId="39" r:id="rId38"/>
    <sheet name="4.7" sheetId="40" r:id="rId39"/>
    <sheet name="4.8" sheetId="140" r:id="rId40"/>
    <sheet name="5.1 ,5.1a" sheetId="83" r:id="rId41"/>
    <sheet name="5.1b,5.2" sheetId="46" r:id="rId42"/>
    <sheet name="5.3" sheetId="114" r:id="rId43"/>
    <sheet name="5.3a" sheetId="49" r:id="rId44"/>
    <sheet name="5.3b,5.3c" sheetId="50" r:id="rId45"/>
    <sheet name="5.3d" sheetId="51" r:id="rId46"/>
    <sheet name="5.3e" sheetId="52" r:id="rId47"/>
    <sheet name="5.4" sheetId="147" r:id="rId48"/>
    <sheet name="5.5,5.5a" sheetId="55" r:id="rId49"/>
    <sheet name="5.6,5.7,5.8" sheetId="131" r:id="rId50"/>
    <sheet name="6.1" sheetId="59" r:id="rId51"/>
    <sheet name="6.2" sheetId="60" r:id="rId52"/>
    <sheet name="7.1" sheetId="61" r:id="rId53"/>
    <sheet name="7.2,7.3" sheetId="62" r:id="rId54"/>
    <sheet name="8.1,8.2" sheetId="151" r:id="rId55"/>
    <sheet name="8.1,8.2_NR" sheetId="65" state="hidden" r:id="rId56"/>
    <sheet name="8.2a" sheetId="138" r:id="rId57"/>
    <sheet name="8.3" sheetId="68" r:id="rId58"/>
    <sheet name="8.4,8.4a" sheetId="69" r:id="rId59"/>
    <sheet name="9.1_NR" sheetId="72" state="hidden" r:id="rId60"/>
    <sheet name="9.1" sheetId="152" r:id="rId61"/>
    <sheet name="9.2,9.2a,9.2b" sheetId="150" r:id="rId62"/>
    <sheet name="10.1,10.2" sheetId="75" r:id="rId63"/>
    <sheet name="10.3" sheetId="77" r:id="rId64"/>
    <sheet name="11.1" sheetId="85" r:id="rId65"/>
    <sheet name="11.1a,11.2" sheetId="86" r:id="rId66"/>
    <sheet name="11.3,11.4" sheetId="130" r:id="rId67"/>
    <sheet name="12.1,12.2" sheetId="90" r:id="rId68"/>
    <sheet name="12.3,12.4" sheetId="132" r:id="rId69"/>
    <sheet name="12.5,12.6,12.7" sheetId="94" r:id="rId70"/>
    <sheet name="13.1" sheetId="142" r:id="rId71"/>
    <sheet name="13.2,13.3" sheetId="133" r:id="rId72"/>
    <sheet name="14.1,14.2" sheetId="81" r:id="rId73"/>
    <sheet name="15.1" sheetId="143" r:id="rId74"/>
    <sheet name="15.2" sheetId="148" r:id="rId75"/>
    <sheet name="Block_Level_NR" sheetId="136" state="hidden" r:id="rId76"/>
    <sheet name="Block_Level" sheetId="156" r:id="rId77"/>
    <sheet name="16.1" sheetId="98" r:id="rId78"/>
    <sheet name="17.1" sheetId="154" r:id="rId79"/>
    <sheet name="17.1_NR" sheetId="99" state="hidden" r:id="rId80"/>
    <sheet name="17.2" sheetId="100" r:id="rId81"/>
    <sheet name="18.1" sheetId="101" r:id="rId82"/>
    <sheet name="18.2" sheetId="102" r:id="rId83"/>
    <sheet name="18.3" sheetId="103" r:id="rId84"/>
    <sheet name="19.1" sheetId="159" r:id="rId85"/>
    <sheet name="19.1_nr" sheetId="157" state="hidden" r:id="rId86"/>
    <sheet name="20.1" sheetId="105" r:id="rId87"/>
    <sheet name="20.2" sheetId="144" r:id="rId88"/>
    <sheet name="21.1" sheetId="107" r:id="rId89"/>
    <sheet name="21.2" sheetId="141" r:id="rId90"/>
    <sheet name="District" sheetId="12" r:id="rId91"/>
  </sheets>
  <externalReferences>
    <externalReference r:id="rId92"/>
    <externalReference r:id="rId93"/>
    <externalReference r:id="rId94"/>
    <externalReference r:id="rId95"/>
  </externalReferences>
  <definedNames>
    <definedName name="_xlnm.Print_Area" localSheetId="74">'15.2'!$A$1:$E$24</definedName>
    <definedName name="_xlnm.Print_Titles" localSheetId="82">'18.2'!$3:$6</definedName>
    <definedName name="_xlnm.Print_Titles" localSheetId="7">'2.1'!$3:$7</definedName>
    <definedName name="_xlnm.Print_Titles" localSheetId="12">'2.4b'!$3:$6</definedName>
    <definedName name="_xlnm.Print_Titles" localSheetId="16">'2.7'!$3:$7</definedName>
    <definedName name="_xlnm.Print_Titles" localSheetId="38">'4.7'!$10:$10</definedName>
    <definedName name="_xlnm.Print_Titles" localSheetId="51">'6.2'!$11:$11</definedName>
    <definedName name="Table2.1" localSheetId="84">'[1]2.11'!#REF!</definedName>
    <definedName name="Table2.1" localSheetId="36">'[2]2.11'!#REF!</definedName>
    <definedName name="Table2.1" localSheetId="76">'[3]2.11'!#REF!</definedName>
    <definedName name="Table2.1">'[3]2.11'!#REF!</definedName>
    <definedName name="Table2.10">#REF!</definedName>
    <definedName name="Table2.10a" localSheetId="84">'[1]2.11'!#REF!</definedName>
    <definedName name="Table2.10a" localSheetId="36">'[2]2.11'!#REF!</definedName>
    <definedName name="Table2.10a" localSheetId="76">'[3]2.11'!#REF!</definedName>
    <definedName name="Table2.10a">'[3]2.11'!#REF!</definedName>
    <definedName name="Table2.2">#REF!</definedName>
    <definedName name="xx" localSheetId="84">'[4]2.11'!#REF!</definedName>
    <definedName name="xx" localSheetId="36">'[2]2.11'!#REF!</definedName>
    <definedName name="xx">'[3]2.11'!#REF!</definedName>
    <definedName name="yy" localSheetId="84">'[4]2.11'!#REF!</definedName>
    <definedName name="yy" localSheetId="36">'[2]2.11'!#REF!</definedName>
    <definedName name="yy">'[3]2.11'!#REF!</definedName>
  </definedNames>
  <calcPr calcId="124519"/>
</workbook>
</file>

<file path=xl/calcChain.xml><?xml version="1.0" encoding="utf-8"?>
<calcChain xmlns="http://schemas.openxmlformats.org/spreadsheetml/2006/main">
  <c r="G9" i="46"/>
  <c r="G8"/>
  <c r="G7"/>
  <c r="G6"/>
  <c r="G18" i="130"/>
  <c r="F18"/>
  <c r="E18"/>
  <c r="D18"/>
  <c r="C18"/>
  <c r="M18" i="150"/>
  <c r="M7"/>
  <c r="Q10" i="62" l="1"/>
  <c r="F26" i="59"/>
  <c r="E26"/>
  <c r="D26"/>
  <c r="C26"/>
  <c r="F15"/>
  <c r="F21" s="1"/>
  <c r="E15"/>
  <c r="E21" s="1"/>
  <c r="D15"/>
  <c r="D21" s="1"/>
  <c r="C15"/>
  <c r="C21" s="1"/>
  <c r="F10"/>
  <c r="E10"/>
  <c r="D10"/>
  <c r="C10"/>
  <c r="G11" i="90" l="1"/>
  <c r="D11"/>
  <c r="D19" i="68"/>
  <c r="E19"/>
  <c r="F19"/>
  <c r="G19"/>
  <c r="H19"/>
  <c r="I19"/>
  <c r="J19"/>
  <c r="K19"/>
  <c r="L19"/>
  <c r="C19"/>
  <c r="N19" i="150"/>
  <c r="N18"/>
  <c r="M19"/>
  <c r="L20"/>
  <c r="H20"/>
  <c r="G20"/>
  <c r="D20"/>
  <c r="C20"/>
  <c r="N8"/>
  <c r="N7"/>
  <c r="M8"/>
  <c r="L8"/>
  <c r="K8"/>
  <c r="L7"/>
  <c r="L9" s="1"/>
  <c r="K7"/>
  <c r="K9" s="1"/>
  <c r="H9"/>
  <c r="G9"/>
  <c r="D9"/>
  <c r="C9"/>
  <c r="K26" i="90"/>
  <c r="G30" i="51"/>
  <c r="L18"/>
  <c r="G18"/>
  <c r="H27" i="2"/>
  <c r="R9" i="62"/>
  <c r="G27" i="2"/>
  <c r="F27"/>
  <c r="E27"/>
  <c r="D27"/>
  <c r="H13"/>
  <c r="G13"/>
  <c r="F13"/>
  <c r="E13"/>
  <c r="D13"/>
  <c r="I19" i="4"/>
  <c r="H19"/>
  <c r="G19"/>
  <c r="F19"/>
  <c r="E19"/>
  <c r="D19"/>
  <c r="C19"/>
  <c r="B19"/>
  <c r="J25"/>
  <c r="H25"/>
  <c r="F25"/>
  <c r="D25"/>
  <c r="B25"/>
  <c r="J4"/>
  <c r="H4"/>
  <c r="F4"/>
  <c r="D4"/>
  <c r="B4"/>
  <c r="B27" i="9"/>
  <c r="B26"/>
  <c r="B25"/>
  <c r="B24"/>
  <c r="B23"/>
  <c r="B12" i="23"/>
  <c r="B11"/>
  <c r="B10"/>
  <c r="B9"/>
  <c r="B8"/>
  <c r="A11" i="24"/>
  <c r="A10"/>
  <c r="A9"/>
  <c r="A8"/>
  <c r="A7"/>
  <c r="A10" i="25"/>
  <c r="A9"/>
  <c r="A8"/>
  <c r="A7"/>
  <c r="A6"/>
  <c r="A10" i="26"/>
  <c r="B11" s="1"/>
  <c r="A9"/>
  <c r="A8"/>
  <c r="A7"/>
  <c r="A6"/>
  <c r="A11" i="128"/>
  <c r="A10"/>
  <c r="A9"/>
  <c r="A8"/>
  <c r="A7"/>
  <c r="F18" i="27"/>
  <c r="F13"/>
  <c r="G13"/>
  <c r="G18"/>
  <c r="G23"/>
  <c r="H24"/>
  <c r="H23"/>
  <c r="F23"/>
  <c r="E23"/>
  <c r="H18"/>
  <c r="E18"/>
  <c r="H13"/>
  <c r="E13"/>
  <c r="H8"/>
  <c r="G8"/>
  <c r="F8"/>
  <c r="E8"/>
  <c r="H7"/>
  <c r="G7"/>
  <c r="F7"/>
  <c r="E7"/>
  <c r="I5"/>
  <c r="H5"/>
  <c r="G5"/>
  <c r="F5"/>
  <c r="E5"/>
  <c r="H28" i="28"/>
  <c r="G28"/>
  <c r="F28"/>
  <c r="E28"/>
  <c r="H25"/>
  <c r="G25"/>
  <c r="F25"/>
  <c r="E25"/>
  <c r="H18"/>
  <c r="G18"/>
  <c r="F18"/>
  <c r="E18"/>
  <c r="H17"/>
  <c r="G17"/>
  <c r="F17"/>
  <c r="E17"/>
  <c r="H13"/>
  <c r="G13"/>
  <c r="F13"/>
  <c r="E13"/>
  <c r="H8"/>
  <c r="G8"/>
  <c r="F8"/>
  <c r="E8"/>
  <c r="H7"/>
  <c r="G7"/>
  <c r="F7"/>
  <c r="E7"/>
  <c r="I5"/>
  <c r="H5"/>
  <c r="G5"/>
  <c r="F5"/>
  <c r="E5"/>
  <c r="I5" i="29"/>
  <c r="H5"/>
  <c r="G5"/>
  <c r="F5"/>
  <c r="E5"/>
  <c r="I24" i="30"/>
  <c r="G19"/>
  <c r="H19"/>
  <c r="I19"/>
  <c r="J19"/>
  <c r="G14"/>
  <c r="H14"/>
  <c r="I14"/>
  <c r="J14"/>
  <c r="L24"/>
  <c r="K24"/>
  <c r="J24"/>
  <c r="H24"/>
  <c r="G24"/>
  <c r="F24"/>
  <c r="E24"/>
  <c r="L19"/>
  <c r="K19"/>
  <c r="F19"/>
  <c r="E19"/>
  <c r="L14"/>
  <c r="K14"/>
  <c r="F14"/>
  <c r="E14"/>
  <c r="L9"/>
  <c r="K9"/>
  <c r="J9"/>
  <c r="I9"/>
  <c r="H9"/>
  <c r="G9"/>
  <c r="F9"/>
  <c r="E9"/>
  <c r="L8"/>
  <c r="K8"/>
  <c r="J8"/>
  <c r="I8"/>
  <c r="H8"/>
  <c r="G8"/>
  <c r="F8"/>
  <c r="E8"/>
  <c r="M5"/>
  <c r="K5"/>
  <c r="I5"/>
  <c r="G5"/>
  <c r="E5"/>
  <c r="M29" i="31"/>
  <c r="K29"/>
  <c r="E29"/>
  <c r="L29"/>
  <c r="J29"/>
  <c r="I29"/>
  <c r="H29"/>
  <c r="G29"/>
  <c r="F29"/>
  <c r="L26"/>
  <c r="K26"/>
  <c r="J26"/>
  <c r="I26"/>
  <c r="H26"/>
  <c r="G26"/>
  <c r="F26"/>
  <c r="E26"/>
  <c r="L19"/>
  <c r="K19"/>
  <c r="J19"/>
  <c r="I19"/>
  <c r="H19"/>
  <c r="G19"/>
  <c r="F19"/>
  <c r="E19"/>
  <c r="L18"/>
  <c r="K18"/>
  <c r="J18"/>
  <c r="I18"/>
  <c r="H18"/>
  <c r="G18"/>
  <c r="F18"/>
  <c r="E18"/>
  <c r="L14"/>
  <c r="K14"/>
  <c r="J14"/>
  <c r="I14"/>
  <c r="H14"/>
  <c r="G14"/>
  <c r="F14"/>
  <c r="E14"/>
  <c r="L9"/>
  <c r="K9"/>
  <c r="J9"/>
  <c r="I9"/>
  <c r="H9"/>
  <c r="G9"/>
  <c r="F9"/>
  <c r="E9"/>
  <c r="L8"/>
  <c r="K8"/>
  <c r="J8"/>
  <c r="I8"/>
  <c r="H8"/>
  <c r="G8"/>
  <c r="F8"/>
  <c r="E8"/>
  <c r="M5"/>
  <c r="K5"/>
  <c r="I5"/>
  <c r="G5"/>
  <c r="E5"/>
  <c r="M5" i="32"/>
  <c r="K5"/>
  <c r="I5"/>
  <c r="G5"/>
  <c r="E5"/>
  <c r="H23" i="33"/>
  <c r="G23"/>
  <c r="F23"/>
  <c r="E23"/>
  <c r="H18"/>
  <c r="G18"/>
  <c r="F18"/>
  <c r="E18"/>
  <c r="H13"/>
  <c r="G13"/>
  <c r="F13"/>
  <c r="E13"/>
  <c r="H8"/>
  <c r="G8"/>
  <c r="F8"/>
  <c r="E8"/>
  <c r="H7"/>
  <c r="G7"/>
  <c r="F7"/>
  <c r="E7"/>
  <c r="I5"/>
  <c r="H5"/>
  <c r="G5"/>
  <c r="F5"/>
  <c r="E5"/>
  <c r="H8" i="34"/>
  <c r="H13"/>
  <c r="H7" s="1"/>
  <c r="H18"/>
  <c r="H25"/>
  <c r="H28"/>
  <c r="H17"/>
  <c r="G8"/>
  <c r="G13"/>
  <c r="G7" s="1"/>
  <c r="G18"/>
  <c r="G25"/>
  <c r="G28"/>
  <c r="F8"/>
  <c r="F13"/>
  <c r="F18"/>
  <c r="F25"/>
  <c r="F28"/>
  <c r="E8"/>
  <c r="E13"/>
  <c r="E7" s="1"/>
  <c r="E18"/>
  <c r="E25"/>
  <c r="E28"/>
  <c r="I5"/>
  <c r="H5"/>
  <c r="G5"/>
  <c r="F5"/>
  <c r="E5"/>
  <c r="G5" i="35"/>
  <c r="F5"/>
  <c r="E5"/>
  <c r="D5"/>
  <c r="C5"/>
  <c r="B10" i="39"/>
  <c r="B9"/>
  <c r="B8"/>
  <c r="B7"/>
  <c r="B6"/>
  <c r="A9" i="40"/>
  <c r="A8"/>
  <c r="A7"/>
  <c r="A6"/>
  <c r="A5"/>
  <c r="B10" i="140"/>
  <c r="B9"/>
  <c r="B8"/>
  <c r="B7"/>
  <c r="B6"/>
  <c r="B9" i="83"/>
  <c r="B8"/>
  <c r="B6"/>
  <c r="A10"/>
  <c r="A9"/>
  <c r="A8"/>
  <c r="A7"/>
  <c r="A6"/>
  <c r="G31" i="46"/>
  <c r="F31"/>
  <c r="F50"/>
  <c r="E50"/>
  <c r="D50"/>
  <c r="C50"/>
  <c r="F42"/>
  <c r="E42"/>
  <c r="D42"/>
  <c r="C42"/>
  <c r="F37"/>
  <c r="E37"/>
  <c r="D37"/>
  <c r="C37"/>
  <c r="F19"/>
  <c r="F27" s="1"/>
  <c r="F32" s="1"/>
  <c r="E19"/>
  <c r="E27" s="1"/>
  <c r="E31"/>
  <c r="D19"/>
  <c r="D27" s="1"/>
  <c r="D32" s="1"/>
  <c r="D31"/>
  <c r="C19"/>
  <c r="C27" s="1"/>
  <c r="C32" s="1"/>
  <c r="C31"/>
  <c r="G16"/>
  <c r="F16"/>
  <c r="E16"/>
  <c r="D16"/>
  <c r="C16"/>
  <c r="F38" i="114"/>
  <c r="E38"/>
  <c r="D38"/>
  <c r="C38"/>
  <c r="F30"/>
  <c r="E30"/>
  <c r="D30"/>
  <c r="C30"/>
  <c r="F25"/>
  <c r="E25"/>
  <c r="D25"/>
  <c r="C25"/>
  <c r="F7"/>
  <c r="F15"/>
  <c r="F19"/>
  <c r="F20"/>
  <c r="E7"/>
  <c r="E15"/>
  <c r="E19"/>
  <c r="E20"/>
  <c r="D7"/>
  <c r="D15"/>
  <c r="D19"/>
  <c r="D20"/>
  <c r="C7"/>
  <c r="C15"/>
  <c r="C19"/>
  <c r="C20"/>
  <c r="G4"/>
  <c r="F4"/>
  <c r="E4"/>
  <c r="D4"/>
  <c r="C4"/>
  <c r="G4" i="49"/>
  <c r="F4"/>
  <c r="E4"/>
  <c r="D4"/>
  <c r="C4"/>
  <c r="A28" i="50"/>
  <c r="A27"/>
  <c r="A26"/>
  <c r="A25"/>
  <c r="A24"/>
  <c r="J4"/>
  <c r="H4"/>
  <c r="F4"/>
  <c r="D4"/>
  <c r="B4"/>
  <c r="K30" i="51"/>
  <c r="J30"/>
  <c r="I30"/>
  <c r="H30"/>
  <c r="K18"/>
  <c r="J18"/>
  <c r="I18"/>
  <c r="H18"/>
  <c r="F30"/>
  <c r="E30"/>
  <c r="D30"/>
  <c r="C30"/>
  <c r="F18"/>
  <c r="E18"/>
  <c r="D18"/>
  <c r="C18"/>
  <c r="L4"/>
  <c r="K4"/>
  <c r="J4"/>
  <c r="I4"/>
  <c r="H4"/>
  <c r="G4"/>
  <c r="F4"/>
  <c r="E4"/>
  <c r="D4"/>
  <c r="C4"/>
  <c r="M4" i="52"/>
  <c r="L4"/>
  <c r="K4"/>
  <c r="J4"/>
  <c r="I4"/>
  <c r="G4"/>
  <c r="F4"/>
  <c r="E4"/>
  <c r="D4"/>
  <c r="C4"/>
  <c r="G13" i="147"/>
  <c r="F13"/>
  <c r="D13"/>
  <c r="H3"/>
  <c r="G3"/>
  <c r="F3"/>
  <c r="E3"/>
  <c r="D3"/>
  <c r="C28" i="55"/>
  <c r="C27"/>
  <c r="C26"/>
  <c r="C25"/>
  <c r="C24"/>
  <c r="B11"/>
  <c r="B10"/>
  <c r="B9"/>
  <c r="B8"/>
  <c r="B7"/>
  <c r="B34" i="131"/>
  <c r="B33"/>
  <c r="B32"/>
  <c r="B31"/>
  <c r="B22"/>
  <c r="B21"/>
  <c r="B20"/>
  <c r="B19"/>
  <c r="B30"/>
  <c r="B18"/>
  <c r="B10"/>
  <c r="B9"/>
  <c r="B8"/>
  <c r="B7"/>
  <c r="B6"/>
  <c r="A10" i="60"/>
  <c r="A9"/>
  <c r="A8"/>
  <c r="A7"/>
  <c r="A6"/>
  <c r="B47" i="61"/>
  <c r="B44"/>
  <c r="B45"/>
  <c r="B46"/>
  <c r="B38"/>
  <c r="B39"/>
  <c r="B40"/>
  <c r="B41"/>
  <c r="B32"/>
  <c r="B33"/>
  <c r="B34"/>
  <c r="B35"/>
  <c r="B26"/>
  <c r="B27"/>
  <c r="B28"/>
  <c r="B29"/>
  <c r="B20"/>
  <c r="B21"/>
  <c r="B22"/>
  <c r="B23"/>
  <c r="B14"/>
  <c r="B15"/>
  <c r="B16"/>
  <c r="B17"/>
  <c r="B8"/>
  <c r="B9"/>
  <c r="B10"/>
  <c r="B11"/>
  <c r="B43"/>
  <c r="B37"/>
  <c r="B31"/>
  <c r="B25"/>
  <c r="B19"/>
  <c r="B13"/>
  <c r="B7"/>
  <c r="B27" i="62"/>
  <c r="B26"/>
  <c r="B25"/>
  <c r="B24"/>
  <c r="B23"/>
  <c r="N9"/>
  <c r="P9"/>
  <c r="O9"/>
  <c r="Q9" s="1"/>
  <c r="M9"/>
  <c r="I9"/>
  <c r="E9"/>
  <c r="A10"/>
  <c r="B77" i="120" s="1"/>
  <c r="A9" i="62"/>
  <c r="A8"/>
  <c r="A7"/>
  <c r="A6"/>
  <c r="E38" i="151"/>
  <c r="D38"/>
  <c r="C38"/>
  <c r="B38"/>
  <c r="E29"/>
  <c r="D29"/>
  <c r="C29"/>
  <c r="B29"/>
  <c r="E20"/>
  <c r="D20"/>
  <c r="C20"/>
  <c r="B20"/>
  <c r="F18"/>
  <c r="E18"/>
  <c r="D18"/>
  <c r="C18"/>
  <c r="B18"/>
  <c r="A11"/>
  <c r="A10"/>
  <c r="A9"/>
  <c r="A8"/>
  <c r="A7"/>
  <c r="J9" i="138"/>
  <c r="A10"/>
  <c r="A9"/>
  <c r="A8"/>
  <c r="A7"/>
  <c r="A6"/>
  <c r="B23" i="69"/>
  <c r="B22"/>
  <c r="B21"/>
  <c r="B20"/>
  <c r="B19"/>
  <c r="A10"/>
  <c r="A9"/>
  <c r="A8"/>
  <c r="A7"/>
  <c r="A6"/>
  <c r="G6" i="152"/>
  <c r="F6"/>
  <c r="E6"/>
  <c r="D6"/>
  <c r="C6"/>
  <c r="F20" i="75"/>
  <c r="E20"/>
  <c r="D20"/>
  <c r="C20"/>
  <c r="B20"/>
  <c r="F4"/>
  <c r="E4"/>
  <c r="D4"/>
  <c r="C4"/>
  <c r="B4"/>
  <c r="A10" i="77"/>
  <c r="A9"/>
  <c r="A8"/>
  <c r="A7"/>
  <c r="A6"/>
  <c r="G134" i="85"/>
  <c r="F134"/>
  <c r="E134"/>
  <c r="G88"/>
  <c r="F88"/>
  <c r="E88"/>
  <c r="G45"/>
  <c r="F45"/>
  <c r="E45"/>
  <c r="G4"/>
  <c r="F4"/>
  <c r="E4"/>
  <c r="B32" i="130"/>
  <c r="B31"/>
  <c r="B30"/>
  <c r="B29"/>
  <c r="B28"/>
  <c r="B7" i="132"/>
  <c r="B6"/>
  <c r="B26" i="90"/>
  <c r="B25"/>
  <c r="B24"/>
  <c r="B23"/>
  <c r="B22"/>
  <c r="J11"/>
  <c r="M10"/>
  <c r="J10"/>
  <c r="G10"/>
  <c r="A11"/>
  <c r="A10"/>
  <c r="A9"/>
  <c r="A8"/>
  <c r="A7"/>
  <c r="L26" i="132"/>
  <c r="B27"/>
  <c r="B26"/>
  <c r="B25"/>
  <c r="B24"/>
  <c r="B23"/>
  <c r="J9"/>
  <c r="J8"/>
  <c r="J7"/>
  <c r="J6"/>
  <c r="B10"/>
  <c r="B9"/>
  <c r="B8"/>
  <c r="A35" i="94"/>
  <c r="A34"/>
  <c r="A33"/>
  <c r="A32"/>
  <c r="A31"/>
  <c r="A21"/>
  <c r="A20"/>
  <c r="A19"/>
  <c r="A18"/>
  <c r="A17"/>
  <c r="A9"/>
  <c r="A8"/>
  <c r="A7"/>
  <c r="A6"/>
  <c r="A5"/>
  <c r="K22" i="142"/>
  <c r="J22"/>
  <c r="I22"/>
  <c r="H22"/>
  <c r="G22"/>
  <c r="F22"/>
  <c r="E22"/>
  <c r="D22"/>
  <c r="C22"/>
  <c r="B22"/>
  <c r="F5"/>
  <c r="E5"/>
  <c r="D5"/>
  <c r="C5"/>
  <c r="B5"/>
  <c r="K5"/>
  <c r="J5"/>
  <c r="I5"/>
  <c r="H5"/>
  <c r="G5"/>
  <c r="J17" i="133"/>
  <c r="H17"/>
  <c r="F17"/>
  <c r="D17"/>
  <c r="B17"/>
  <c r="K5"/>
  <c r="J5"/>
  <c r="I5"/>
  <c r="H5"/>
  <c r="G5"/>
  <c r="F5"/>
  <c r="E5"/>
  <c r="D5"/>
  <c r="C5"/>
  <c r="B5"/>
  <c r="L9" i="143"/>
  <c r="L8"/>
  <c r="L7"/>
  <c r="L6"/>
  <c r="L16" i="81"/>
  <c r="J16"/>
  <c r="H16"/>
  <c r="F16"/>
  <c r="D16"/>
  <c r="L4"/>
  <c r="J4"/>
  <c r="H4"/>
  <c r="F4"/>
  <c r="D4"/>
  <c r="A10" i="143"/>
  <c r="A9"/>
  <c r="A8"/>
  <c r="A7"/>
  <c r="A6"/>
  <c r="A10" i="148"/>
  <c r="B11" s="1"/>
  <c r="A9"/>
  <c r="A8"/>
  <c r="A7"/>
  <c r="A6"/>
  <c r="A2" i="158"/>
  <c r="M11" i="90"/>
  <c r="H15" i="140"/>
  <c r="H14"/>
  <c r="H13"/>
  <c r="B24" i="86"/>
  <c r="B49" i="120"/>
  <c r="A41"/>
  <c r="B30"/>
  <c r="B17"/>
  <c r="B9"/>
  <c r="B8"/>
  <c r="B65"/>
  <c r="B61"/>
  <c r="D64"/>
  <c r="D65"/>
  <c r="D61"/>
  <c r="E12" i="39"/>
  <c r="E22"/>
  <c r="E31"/>
  <c r="K33" i="23"/>
  <c r="B10" i="83"/>
  <c r="E38" i="128"/>
  <c r="E39"/>
  <c r="C32"/>
  <c r="D32"/>
  <c r="C23"/>
  <c r="D23"/>
  <c r="M17" i="37"/>
  <c r="K26"/>
  <c r="G19" i="35"/>
  <c r="E37" i="128"/>
  <c r="E40"/>
  <c r="E36"/>
  <c r="E35"/>
  <c r="E34"/>
  <c r="E33"/>
  <c r="E31"/>
  <c r="E30"/>
  <c r="E29"/>
  <c r="E28"/>
  <c r="E27"/>
  <c r="E26"/>
  <c r="E25"/>
  <c r="E24"/>
  <c r="E22"/>
  <c r="E21"/>
  <c r="E20"/>
  <c r="E19"/>
  <c r="E18"/>
  <c r="E17"/>
  <c r="E16"/>
  <c r="E15"/>
  <c r="E14"/>
  <c r="C13"/>
  <c r="D13"/>
  <c r="E13" s="1"/>
  <c r="F33" i="142"/>
  <c r="F16"/>
  <c r="E40" i="24"/>
  <c r="E39"/>
  <c r="E34"/>
  <c r="E35"/>
  <c r="E36"/>
  <c r="E33"/>
  <c r="E25"/>
  <c r="E26"/>
  <c r="E27"/>
  <c r="E28"/>
  <c r="E29"/>
  <c r="E30"/>
  <c r="E31"/>
  <c r="E24"/>
  <c r="E15"/>
  <c r="E16"/>
  <c r="E17"/>
  <c r="E18"/>
  <c r="E19"/>
  <c r="E20"/>
  <c r="E21"/>
  <c r="E22"/>
  <c r="E14"/>
  <c r="G17" i="140"/>
  <c r="G10" s="1"/>
  <c r="E17"/>
  <c r="E10" s="1"/>
  <c r="E45" i="151"/>
  <c r="D45"/>
  <c r="C45"/>
  <c r="B45"/>
  <c r="R8" i="102"/>
  <c r="R10"/>
  <c r="R11"/>
  <c r="R12"/>
  <c r="R13"/>
  <c r="R14"/>
  <c r="R15"/>
  <c r="R16"/>
  <c r="R17"/>
  <c r="R18"/>
  <c r="R19"/>
  <c r="R20"/>
  <c r="R21"/>
  <c r="R22"/>
  <c r="R23"/>
  <c r="R24"/>
  <c r="R25"/>
  <c r="R26"/>
  <c r="R27"/>
  <c r="R28"/>
  <c r="R7"/>
  <c r="Q8"/>
  <c r="Q9"/>
  <c r="Q10"/>
  <c r="Q11"/>
  <c r="Q12"/>
  <c r="Q13"/>
  <c r="Q14"/>
  <c r="Q15"/>
  <c r="Q16"/>
  <c r="Q17"/>
  <c r="Q18"/>
  <c r="Q19"/>
  <c r="Q20"/>
  <c r="Q21"/>
  <c r="Q22"/>
  <c r="Q23"/>
  <c r="Q24"/>
  <c r="Q25"/>
  <c r="Q26"/>
  <c r="Q27"/>
  <c r="Q28"/>
  <c r="Q7"/>
  <c r="H31" i="133"/>
  <c r="F31"/>
  <c r="D31"/>
  <c r="B31"/>
  <c r="J33" i="142"/>
  <c r="I33"/>
  <c r="H33"/>
  <c r="G33"/>
  <c r="E33"/>
  <c r="D33"/>
  <c r="C33"/>
  <c r="B33"/>
  <c r="J16"/>
  <c r="I16"/>
  <c r="H16"/>
  <c r="G16"/>
  <c r="E16"/>
  <c r="D16"/>
  <c r="C16"/>
  <c r="B16"/>
  <c r="E23" i="86"/>
  <c r="E13" i="75"/>
  <c r="D13"/>
  <c r="C13"/>
  <c r="B13"/>
  <c r="E25"/>
  <c r="D25"/>
  <c r="C25"/>
  <c r="B25"/>
  <c r="I9" i="131"/>
  <c r="I8"/>
  <c r="I7"/>
  <c r="I6"/>
  <c r="H16" i="140"/>
  <c r="B11" i="40"/>
  <c r="B21"/>
  <c r="B30"/>
  <c r="D11"/>
  <c r="F19" i="35"/>
  <c r="E19"/>
  <c r="D19"/>
  <c r="C19"/>
  <c r="L36" i="31"/>
  <c r="K36"/>
  <c r="J36"/>
  <c r="I36"/>
  <c r="H36"/>
  <c r="G36"/>
  <c r="F36"/>
  <c r="E36"/>
  <c r="H19" i="29"/>
  <c r="G19"/>
  <c r="F19"/>
  <c r="E19"/>
  <c r="H35" i="28"/>
  <c r="G35"/>
  <c r="F35"/>
  <c r="E35"/>
  <c r="D38" i="26"/>
  <c r="D37"/>
  <c r="D40"/>
  <c r="D39"/>
  <c r="D33"/>
  <c r="D34"/>
  <c r="D35"/>
  <c r="D36"/>
  <c r="D24"/>
  <c r="D25"/>
  <c r="D26"/>
  <c r="D27"/>
  <c r="D28"/>
  <c r="D29"/>
  <c r="D30"/>
  <c r="D31"/>
  <c r="D14"/>
  <c r="D15"/>
  <c r="D16"/>
  <c r="D17"/>
  <c r="D18"/>
  <c r="D19"/>
  <c r="D20"/>
  <c r="D21"/>
  <c r="D22"/>
  <c r="G14" i="9"/>
  <c r="G13"/>
  <c r="G12"/>
  <c r="G11"/>
  <c r="G10"/>
  <c r="G9"/>
  <c r="G8"/>
  <c r="G7"/>
  <c r="A2" i="18"/>
  <c r="P8" i="17"/>
  <c r="P18"/>
  <c r="P27"/>
  <c r="P36"/>
  <c r="N8"/>
  <c r="N18"/>
  <c r="N27"/>
  <c r="N36"/>
  <c r="L8"/>
  <c r="L18"/>
  <c r="L27"/>
  <c r="L36"/>
  <c r="D8"/>
  <c r="D18"/>
  <c r="D27"/>
  <c r="F8"/>
  <c r="H8"/>
  <c r="J8"/>
  <c r="F18"/>
  <c r="H18"/>
  <c r="J18"/>
  <c r="F27"/>
  <c r="H27"/>
  <c r="J27"/>
  <c r="R8"/>
  <c r="Q8" s="1"/>
  <c r="M8"/>
  <c r="E21" i="16"/>
  <c r="E20"/>
  <c r="E19"/>
  <c r="E17"/>
  <c r="E16"/>
  <c r="E15"/>
  <c r="E14"/>
  <c r="E12"/>
  <c r="E11"/>
  <c r="E10"/>
  <c r="E9"/>
  <c r="E8"/>
  <c r="D51" i="120"/>
  <c r="D50"/>
  <c r="D49"/>
  <c r="D5" i="145"/>
  <c r="D15"/>
  <c r="D24"/>
  <c r="D33"/>
  <c r="F28" s="1"/>
  <c r="D17" i="120"/>
  <c r="P29" i="6"/>
  <c r="P19"/>
  <c r="N10" i="62"/>
  <c r="R10" s="1"/>
  <c r="B2" i="19"/>
  <c r="A2" i="17"/>
  <c r="A2" i="16"/>
  <c r="E13"/>
  <c r="G12"/>
  <c r="F15"/>
  <c r="G15"/>
  <c r="F16"/>
  <c r="G16"/>
  <c r="F17"/>
  <c r="G17"/>
  <c r="G14"/>
  <c r="F14"/>
  <c r="D18"/>
  <c r="E18"/>
  <c r="E7"/>
  <c r="C18"/>
  <c r="D13"/>
  <c r="G13" s="1"/>
  <c r="D7"/>
  <c r="C7"/>
  <c r="C13"/>
  <c r="F13" s="1"/>
  <c r="F21"/>
  <c r="G21"/>
  <c r="F12"/>
  <c r="F11"/>
  <c r="G11"/>
  <c r="A2" i="135"/>
  <c r="D28" i="118"/>
  <c r="D32"/>
  <c r="G8"/>
  <c r="G34"/>
  <c r="G33"/>
  <c r="G31"/>
  <c r="G29"/>
  <c r="G27"/>
  <c r="G25"/>
  <c r="G22"/>
  <c r="G21"/>
  <c r="G20"/>
  <c r="G18"/>
  <c r="G16"/>
  <c r="G13"/>
  <c r="G14"/>
  <c r="G12"/>
  <c r="G10"/>
  <c r="A2"/>
  <c r="C26" i="139"/>
  <c r="C17"/>
  <c r="C7"/>
  <c r="C35"/>
  <c r="F26"/>
  <c r="F17"/>
  <c r="F7"/>
  <c r="F35"/>
  <c r="I35" s="1"/>
  <c r="D26"/>
  <c r="D17"/>
  <c r="D7"/>
  <c r="G26"/>
  <c r="G17"/>
  <c r="G7"/>
  <c r="I34"/>
  <c r="J34"/>
  <c r="K34" s="1"/>
  <c r="H34"/>
  <c r="E34"/>
  <c r="I33"/>
  <c r="J33"/>
  <c r="K33" s="1"/>
  <c r="H33"/>
  <c r="E33"/>
  <c r="I32"/>
  <c r="J32"/>
  <c r="H32"/>
  <c r="E32"/>
  <c r="I31"/>
  <c r="J31"/>
  <c r="H31"/>
  <c r="E31"/>
  <c r="I30"/>
  <c r="J30"/>
  <c r="K30"/>
  <c r="H30"/>
  <c r="E30"/>
  <c r="I29"/>
  <c r="J29"/>
  <c r="K29" s="1"/>
  <c r="H29"/>
  <c r="E29"/>
  <c r="I28"/>
  <c r="J28"/>
  <c r="K28" s="1"/>
  <c r="H28"/>
  <c r="E28"/>
  <c r="I27"/>
  <c r="J27"/>
  <c r="H27"/>
  <c r="E27"/>
  <c r="I26"/>
  <c r="J26"/>
  <c r="K26"/>
  <c r="H26"/>
  <c r="E26"/>
  <c r="I25"/>
  <c r="J25"/>
  <c r="K25" s="1"/>
  <c r="H25"/>
  <c r="E25"/>
  <c r="I24"/>
  <c r="J24"/>
  <c r="K24" s="1"/>
  <c r="H24"/>
  <c r="E24"/>
  <c r="I23"/>
  <c r="J23"/>
  <c r="H23"/>
  <c r="E23"/>
  <c r="I22"/>
  <c r="J22"/>
  <c r="K22"/>
  <c r="H22"/>
  <c r="E22"/>
  <c r="I21"/>
  <c r="J21"/>
  <c r="K21" s="1"/>
  <c r="H21"/>
  <c r="E21"/>
  <c r="I20"/>
  <c r="J20"/>
  <c r="K20" s="1"/>
  <c r="H20"/>
  <c r="E20"/>
  <c r="I19"/>
  <c r="J19"/>
  <c r="H19"/>
  <c r="E19"/>
  <c r="I18"/>
  <c r="J18"/>
  <c r="K18"/>
  <c r="H18"/>
  <c r="E18"/>
  <c r="I17"/>
  <c r="J17"/>
  <c r="K17" s="1"/>
  <c r="H17"/>
  <c r="E17"/>
  <c r="I16"/>
  <c r="J16"/>
  <c r="K16" s="1"/>
  <c r="H16"/>
  <c r="E16"/>
  <c r="I15"/>
  <c r="J15"/>
  <c r="H15"/>
  <c r="E15"/>
  <c r="I14"/>
  <c r="J14"/>
  <c r="K14"/>
  <c r="H14"/>
  <c r="E14"/>
  <c r="I13"/>
  <c r="J13"/>
  <c r="K13" s="1"/>
  <c r="H13"/>
  <c r="E13"/>
  <c r="I12"/>
  <c r="J12"/>
  <c r="K12" s="1"/>
  <c r="H12"/>
  <c r="E12"/>
  <c r="I11"/>
  <c r="J11"/>
  <c r="H11"/>
  <c r="E11"/>
  <c r="I10"/>
  <c r="J10"/>
  <c r="K10"/>
  <c r="H10"/>
  <c r="E10"/>
  <c r="I9"/>
  <c r="J9"/>
  <c r="K9" s="1"/>
  <c r="H9"/>
  <c r="E9"/>
  <c r="I8"/>
  <c r="J8"/>
  <c r="K8" s="1"/>
  <c r="H8"/>
  <c r="E8"/>
  <c r="I7"/>
  <c r="J7"/>
  <c r="H7"/>
  <c r="E7"/>
  <c r="B2"/>
  <c r="B2" i="145"/>
  <c r="A2" i="21"/>
  <c r="N8" i="14"/>
  <c r="P8"/>
  <c r="R8" s="1"/>
  <c r="N9"/>
  <c r="P9"/>
  <c r="R9" s="1"/>
  <c r="N10"/>
  <c r="P10"/>
  <c r="N11"/>
  <c r="P11"/>
  <c r="R11"/>
  <c r="N12"/>
  <c r="P12"/>
  <c r="R12" s="1"/>
  <c r="N13"/>
  <c r="P13"/>
  <c r="R13" s="1"/>
  <c r="N14"/>
  <c r="P14"/>
  <c r="N15"/>
  <c r="P15"/>
  <c r="R15"/>
  <c r="N16"/>
  <c r="P16"/>
  <c r="R16" s="1"/>
  <c r="N17"/>
  <c r="P17"/>
  <c r="R17" s="1"/>
  <c r="N18"/>
  <c r="P18"/>
  <c r="N19"/>
  <c r="O19" s="1"/>
  <c r="P19"/>
  <c r="R19"/>
  <c r="N20"/>
  <c r="P20"/>
  <c r="R20" s="1"/>
  <c r="N21"/>
  <c r="P21"/>
  <c r="R21" s="1"/>
  <c r="N22"/>
  <c r="O22" s="1"/>
  <c r="P22"/>
  <c r="N23"/>
  <c r="P23"/>
  <c r="R23"/>
  <c r="N24"/>
  <c r="P24"/>
  <c r="R24" s="1"/>
  <c r="N25"/>
  <c r="P25"/>
  <c r="R25" s="1"/>
  <c r="P26"/>
  <c r="Q8" s="1"/>
  <c r="Q9"/>
  <c r="Q12"/>
  <c r="Q14"/>
  <c r="Q16"/>
  <c r="Q18"/>
  <c r="Q20"/>
  <c r="Q22"/>
  <c r="Q24"/>
  <c r="N26"/>
  <c r="O8" s="1"/>
  <c r="O9"/>
  <c r="O13"/>
  <c r="O17"/>
  <c r="O21"/>
  <c r="O23"/>
  <c r="O25"/>
  <c r="L8"/>
  <c r="L9"/>
  <c r="L10"/>
  <c r="L11"/>
  <c r="L12"/>
  <c r="L13"/>
  <c r="L14"/>
  <c r="L15"/>
  <c r="L16"/>
  <c r="L17"/>
  <c r="L18"/>
  <c r="L19"/>
  <c r="L20"/>
  <c r="L21"/>
  <c r="L22"/>
  <c r="L23"/>
  <c r="L24"/>
  <c r="L25"/>
  <c r="J26"/>
  <c r="K8"/>
  <c r="K9"/>
  <c r="K11"/>
  <c r="K13"/>
  <c r="K15"/>
  <c r="K17"/>
  <c r="K19"/>
  <c r="K21"/>
  <c r="K23"/>
  <c r="K25"/>
  <c r="H26"/>
  <c r="I8" s="1"/>
  <c r="I13"/>
  <c r="I21"/>
  <c r="I25"/>
  <c r="F8"/>
  <c r="F9"/>
  <c r="F26" s="1"/>
  <c r="F10"/>
  <c r="F11"/>
  <c r="F12"/>
  <c r="F13"/>
  <c r="F14"/>
  <c r="F15"/>
  <c r="G15" s="1"/>
  <c r="F16"/>
  <c r="F17"/>
  <c r="F18"/>
  <c r="F19"/>
  <c r="F20"/>
  <c r="F21"/>
  <c r="F22"/>
  <c r="F23"/>
  <c r="G23" s="1"/>
  <c r="F24"/>
  <c r="F25"/>
  <c r="D26"/>
  <c r="E8" s="1"/>
  <c r="E13"/>
  <c r="E21"/>
  <c r="B26"/>
  <c r="C8" s="1"/>
  <c r="C9"/>
  <c r="C13"/>
  <c r="C17"/>
  <c r="C21"/>
  <c r="C25"/>
  <c r="A2"/>
  <c r="C15" i="21"/>
  <c r="E15"/>
  <c r="F15"/>
  <c r="B15"/>
  <c r="I12"/>
  <c r="J12" s="1"/>
  <c r="I13"/>
  <c r="I14"/>
  <c r="H12"/>
  <c r="H13"/>
  <c r="J13" s="1"/>
  <c r="H14"/>
  <c r="J14"/>
  <c r="G12"/>
  <c r="G13"/>
  <c r="G14"/>
  <c r="D12"/>
  <c r="D13"/>
  <c r="D14"/>
  <c r="B14" i="131"/>
  <c r="D40" i="39"/>
  <c r="B2" i="102"/>
  <c r="G10" i="133"/>
  <c r="O10" i="62"/>
  <c r="P10"/>
  <c r="M10"/>
  <c r="I10"/>
  <c r="E10"/>
  <c r="A2" i="81"/>
  <c r="I11" i="69"/>
  <c r="F7" i="145"/>
  <c r="A2" i="6"/>
  <c r="A2" i="2"/>
  <c r="B68" i="120"/>
  <c r="F27" i="105"/>
  <c r="F26"/>
  <c r="F25"/>
  <c r="F24"/>
  <c r="F23"/>
  <c r="F22"/>
  <c r="F21"/>
  <c r="F20"/>
  <c r="F19"/>
  <c r="F18"/>
  <c r="F17"/>
  <c r="F16"/>
  <c r="F15"/>
  <c r="F14"/>
  <c r="F13"/>
  <c r="F12"/>
  <c r="F11"/>
  <c r="F10"/>
  <c r="F9"/>
  <c r="F8"/>
  <c r="F7"/>
  <c r="F6"/>
  <c r="A2" i="83"/>
  <c r="K41" i="23"/>
  <c r="K42"/>
  <c r="K43"/>
  <c r="K44"/>
  <c r="K45"/>
  <c r="K46"/>
  <c r="K47"/>
  <c r="K48"/>
  <c r="K32"/>
  <c r="K34"/>
  <c r="K35"/>
  <c r="K36"/>
  <c r="K37"/>
  <c r="K38"/>
  <c r="K39"/>
  <c r="K15"/>
  <c r="K16"/>
  <c r="K17"/>
  <c r="K18"/>
  <c r="K19"/>
  <c r="K21"/>
  <c r="K22"/>
  <c r="K23"/>
  <c r="B13" i="26"/>
  <c r="B23"/>
  <c r="B32"/>
  <c r="B10"/>
  <c r="C13"/>
  <c r="C23"/>
  <c r="C32"/>
  <c r="A2" i="100"/>
  <c r="A2" i="133"/>
  <c r="A2" i="142"/>
  <c r="B19" i="132"/>
  <c r="B24" i="130"/>
  <c r="B15" i="86"/>
  <c r="A2" i="75"/>
  <c r="C24" i="150"/>
  <c r="I10" i="131"/>
  <c r="A19" i="50"/>
  <c r="A2"/>
  <c r="B2" i="39"/>
  <c r="A2" i="37"/>
  <c r="A2" i="35"/>
  <c r="A2" i="34"/>
  <c r="A2" i="33"/>
  <c r="A2" i="32"/>
  <c r="A2" i="31"/>
  <c r="A2" i="30"/>
  <c r="A2" i="29"/>
  <c r="A2" i="28"/>
  <c r="A2" i="27"/>
  <c r="A2" i="128"/>
  <c r="A2" i="26"/>
  <c r="A2" i="24"/>
  <c r="B43" i="19"/>
  <c r="B22" i="77"/>
  <c r="C22"/>
  <c r="B31"/>
  <c r="C31"/>
  <c r="B12"/>
  <c r="C12"/>
  <c r="C10" s="1"/>
  <c r="B13" i="150"/>
  <c r="A15" i="151"/>
  <c r="A6" i="2"/>
  <c r="A10"/>
  <c r="C13"/>
  <c r="C27"/>
  <c r="A2" i="4"/>
  <c r="A23"/>
  <c r="F13" i="75"/>
  <c r="A18"/>
  <c r="F25"/>
  <c r="A2" i="77"/>
  <c r="E12"/>
  <c r="E22"/>
  <c r="E31"/>
  <c r="G12"/>
  <c r="G22"/>
  <c r="G31"/>
  <c r="B11"/>
  <c r="D12"/>
  <c r="F12"/>
  <c r="F22"/>
  <c r="F31"/>
  <c r="D22"/>
  <c r="D10" s="1"/>
  <c r="D31"/>
  <c r="B2" i="85"/>
  <c r="B2" i="86"/>
  <c r="B2" i="130"/>
  <c r="A2" i="90"/>
  <c r="B18"/>
  <c r="B2" i="132"/>
  <c r="D10"/>
  <c r="G10"/>
  <c r="D11"/>
  <c r="J12"/>
  <c r="J13"/>
  <c r="J14"/>
  <c r="L27"/>
  <c r="A2" i="94"/>
  <c r="A13"/>
  <c r="A25"/>
  <c r="K16" i="142"/>
  <c r="K33"/>
  <c r="K34"/>
  <c r="B10" i="133"/>
  <c r="C10"/>
  <c r="D10"/>
  <c r="E10"/>
  <c r="F10"/>
  <c r="H10"/>
  <c r="I10"/>
  <c r="J10"/>
  <c r="K10"/>
  <c r="B14"/>
  <c r="J31"/>
  <c r="K32"/>
  <c r="A14" i="81"/>
  <c r="M20"/>
  <c r="L10" i="143"/>
  <c r="A2"/>
  <c r="A2" i="148"/>
  <c r="E6"/>
  <c r="B12"/>
  <c r="E15"/>
  <c r="B2" i="98"/>
  <c r="B6"/>
  <c r="B7" s="1"/>
  <c r="B8" s="1"/>
  <c r="B9" s="1"/>
  <c r="B10" s="1"/>
  <c r="B11" s="1"/>
  <c r="B12" s="1"/>
  <c r="B13" s="1"/>
  <c r="B14" s="1"/>
  <c r="B15" s="1"/>
  <c r="B16" s="1"/>
  <c r="B17" s="1"/>
  <c r="B18" s="1"/>
  <c r="B19" s="1"/>
  <c r="B20" s="1"/>
  <c r="B21" s="1"/>
  <c r="B22" s="1"/>
  <c r="B23" s="1"/>
  <c r="B24" s="1"/>
  <c r="B25" s="1"/>
  <c r="B26" s="1"/>
  <c r="O6" i="154"/>
  <c r="R6"/>
  <c r="R7"/>
  <c r="G7" s="1"/>
  <c r="I7"/>
  <c r="M7"/>
  <c r="O7"/>
  <c r="R8"/>
  <c r="E8" s="1"/>
  <c r="G8"/>
  <c r="O8"/>
  <c r="K9"/>
  <c r="M9"/>
  <c r="R9"/>
  <c r="R10"/>
  <c r="I10" s="1"/>
  <c r="R11"/>
  <c r="G11" s="1"/>
  <c r="K11"/>
  <c r="M11"/>
  <c r="Q11"/>
  <c r="R12"/>
  <c r="E12" s="1"/>
  <c r="M12"/>
  <c r="M13"/>
  <c r="R13"/>
  <c r="R14"/>
  <c r="I14" s="1"/>
  <c r="Q14"/>
  <c r="R15"/>
  <c r="G15"/>
  <c r="I15"/>
  <c r="O15"/>
  <c r="Q15"/>
  <c r="E15"/>
  <c r="R16"/>
  <c r="E16"/>
  <c r="G16"/>
  <c r="I16"/>
  <c r="M16"/>
  <c r="O16"/>
  <c r="Q16"/>
  <c r="K16"/>
  <c r="R17"/>
  <c r="K17" s="1"/>
  <c r="M17"/>
  <c r="O17"/>
  <c r="K18"/>
  <c r="O18"/>
  <c r="R18"/>
  <c r="Q18" s="1"/>
  <c r="R19"/>
  <c r="G19"/>
  <c r="I19"/>
  <c r="K19"/>
  <c r="M19"/>
  <c r="O19"/>
  <c r="Q19"/>
  <c r="R20"/>
  <c r="E20" s="1"/>
  <c r="I21"/>
  <c r="K21"/>
  <c r="M21"/>
  <c r="O21"/>
  <c r="R21"/>
  <c r="R22"/>
  <c r="I22" s="1"/>
  <c r="K22"/>
  <c r="R23"/>
  <c r="G23" s="1"/>
  <c r="I23"/>
  <c r="K23"/>
  <c r="O23"/>
  <c r="E23"/>
  <c r="R29"/>
  <c r="E29" s="1"/>
  <c r="O29"/>
  <c r="R30"/>
  <c r="E30" s="1"/>
  <c r="M30"/>
  <c r="O30"/>
  <c r="R31"/>
  <c r="I31" s="1"/>
  <c r="O31"/>
  <c r="R32"/>
  <c r="G32" s="1"/>
  <c r="I32"/>
  <c r="K32"/>
  <c r="M32"/>
  <c r="O32"/>
  <c r="R33"/>
  <c r="O33"/>
  <c r="K34"/>
  <c r="O34"/>
  <c r="R34"/>
  <c r="R35"/>
  <c r="K35" s="1"/>
  <c r="O35"/>
  <c r="R36"/>
  <c r="G36" s="1"/>
  <c r="M36"/>
  <c r="O36"/>
  <c r="E36"/>
  <c r="R37"/>
  <c r="E37" s="1"/>
  <c r="G37"/>
  <c r="K37"/>
  <c r="O37"/>
  <c r="R38"/>
  <c r="K38" s="1"/>
  <c r="M38"/>
  <c r="O38"/>
  <c r="R39"/>
  <c r="K39" s="1"/>
  <c r="O39"/>
  <c r="R40"/>
  <c r="G40" s="1"/>
  <c r="I40"/>
  <c r="K40"/>
  <c r="M40"/>
  <c r="O40"/>
  <c r="R41"/>
  <c r="E41" s="1"/>
  <c r="G41"/>
  <c r="O41"/>
  <c r="K42"/>
  <c r="M42"/>
  <c r="O42"/>
  <c r="R42"/>
  <c r="R43"/>
  <c r="K43" s="1"/>
  <c r="O43"/>
  <c r="R44"/>
  <c r="G44" s="1"/>
  <c r="I44"/>
  <c r="K44"/>
  <c r="M44"/>
  <c r="O44"/>
  <c r="R45"/>
  <c r="E45" s="1"/>
  <c r="K46"/>
  <c r="M46"/>
  <c r="O46"/>
  <c r="R46"/>
  <c r="K47"/>
  <c r="O47"/>
  <c r="R47"/>
  <c r="Q47" s="1"/>
  <c r="S47" s="1"/>
  <c r="R48"/>
  <c r="G48" s="1"/>
  <c r="I48"/>
  <c r="K48"/>
  <c r="M48"/>
  <c r="O48"/>
  <c r="Q48"/>
  <c r="I9"/>
  <c r="Q9"/>
  <c r="G9"/>
  <c r="O9"/>
  <c r="E9"/>
  <c r="I13"/>
  <c r="Q13"/>
  <c r="G13"/>
  <c r="O13"/>
  <c r="E13"/>
  <c r="G6"/>
  <c r="E6"/>
  <c r="M6"/>
  <c r="Q6"/>
  <c r="K6"/>
  <c r="G31"/>
  <c r="E31"/>
  <c r="K31"/>
  <c r="M31"/>
  <c r="Q31"/>
  <c r="Q21"/>
  <c r="G21"/>
  <c r="E21"/>
  <c r="K15"/>
  <c r="M15"/>
  <c r="I30"/>
  <c r="Q30"/>
  <c r="G30"/>
  <c r="K30"/>
  <c r="K13"/>
  <c r="K7"/>
  <c r="I6"/>
  <c r="G47"/>
  <c r="E47"/>
  <c r="M47"/>
  <c r="I42"/>
  <c r="Q42"/>
  <c r="G42"/>
  <c r="G39"/>
  <c r="E39"/>
  <c r="I39"/>
  <c r="M39"/>
  <c r="I34"/>
  <c r="Q34"/>
  <c r="G34"/>
  <c r="G18"/>
  <c r="E18"/>
  <c r="M18"/>
  <c r="G14"/>
  <c r="O14"/>
  <c r="E14"/>
  <c r="M14"/>
  <c r="G10"/>
  <c r="O10"/>
  <c r="E10"/>
  <c r="M10"/>
  <c r="I47"/>
  <c r="E42"/>
  <c r="S42" s="1"/>
  <c r="E34"/>
  <c r="M23"/>
  <c r="I18"/>
  <c r="I46"/>
  <c r="Q46"/>
  <c r="G46"/>
  <c r="G43"/>
  <c r="E43"/>
  <c r="I43"/>
  <c r="M43"/>
  <c r="I38"/>
  <c r="Q38"/>
  <c r="G38"/>
  <c r="G35"/>
  <c r="E35"/>
  <c r="M35"/>
  <c r="G22"/>
  <c r="O22"/>
  <c r="E22"/>
  <c r="M22"/>
  <c r="I17"/>
  <c r="Q17"/>
  <c r="G17"/>
  <c r="E46"/>
  <c r="S46" s="1"/>
  <c r="E38"/>
  <c r="I35"/>
  <c r="M34"/>
  <c r="S34" s="1"/>
  <c r="E17"/>
  <c r="K14"/>
  <c r="K10"/>
  <c r="K36"/>
  <c r="Q8"/>
  <c r="I8"/>
  <c r="S21"/>
  <c r="S6"/>
  <c r="S9"/>
  <c r="S13"/>
  <c r="A2" i="99"/>
  <c r="R6"/>
  <c r="E6" s="1"/>
  <c r="O6"/>
  <c r="Q6"/>
  <c r="M7"/>
  <c r="O7"/>
  <c r="R7"/>
  <c r="R8"/>
  <c r="G8" s="1"/>
  <c r="I8"/>
  <c r="O8"/>
  <c r="Q8"/>
  <c r="R10"/>
  <c r="E10" s="1"/>
  <c r="G10"/>
  <c r="I10"/>
  <c r="M10"/>
  <c r="Q10"/>
  <c r="R11"/>
  <c r="E11" s="1"/>
  <c r="K11"/>
  <c r="M11"/>
  <c r="K12"/>
  <c r="M12"/>
  <c r="R12"/>
  <c r="Q12" s="1"/>
  <c r="R13"/>
  <c r="G13" s="1"/>
  <c r="I13"/>
  <c r="K13"/>
  <c r="M13"/>
  <c r="Q13"/>
  <c r="R14"/>
  <c r="E14"/>
  <c r="G14"/>
  <c r="K14"/>
  <c r="O14"/>
  <c r="Q14"/>
  <c r="R15"/>
  <c r="E15"/>
  <c r="M15"/>
  <c r="K16"/>
  <c r="O16"/>
  <c r="R16"/>
  <c r="Q16" s="1"/>
  <c r="R17"/>
  <c r="G17" s="1"/>
  <c r="I17"/>
  <c r="Q17"/>
  <c r="R18"/>
  <c r="E18" s="1"/>
  <c r="G18"/>
  <c r="K18"/>
  <c r="M18"/>
  <c r="O18"/>
  <c r="Q18"/>
  <c r="M19"/>
  <c r="O19"/>
  <c r="R19"/>
  <c r="R20"/>
  <c r="I20" s="1"/>
  <c r="K20"/>
  <c r="M20"/>
  <c r="O20"/>
  <c r="R21"/>
  <c r="G21"/>
  <c r="I21"/>
  <c r="K21"/>
  <c r="M21"/>
  <c r="O21"/>
  <c r="Q21"/>
  <c r="R22"/>
  <c r="E22" s="1"/>
  <c r="I22"/>
  <c r="K22"/>
  <c r="M22"/>
  <c r="O22"/>
  <c r="R23"/>
  <c r="E23" s="1"/>
  <c r="S23" s="1"/>
  <c r="I23"/>
  <c r="K23"/>
  <c r="M23"/>
  <c r="O23"/>
  <c r="K24"/>
  <c r="O24"/>
  <c r="R24"/>
  <c r="Q24" s="1"/>
  <c r="R25"/>
  <c r="G25"/>
  <c r="I25"/>
  <c r="K25"/>
  <c r="O25"/>
  <c r="E25"/>
  <c r="R26"/>
  <c r="E26"/>
  <c r="G26"/>
  <c r="I26"/>
  <c r="K26"/>
  <c r="M26"/>
  <c r="O26"/>
  <c r="Q26"/>
  <c r="R33"/>
  <c r="K33" s="1"/>
  <c r="O33"/>
  <c r="R34"/>
  <c r="K34" s="1"/>
  <c r="O34"/>
  <c r="R35"/>
  <c r="G35" s="1"/>
  <c r="I35"/>
  <c r="M35"/>
  <c r="O35"/>
  <c r="E35"/>
  <c r="R36"/>
  <c r="E36" s="1"/>
  <c r="G36"/>
  <c r="I36"/>
  <c r="K36"/>
  <c r="M36"/>
  <c r="O36"/>
  <c r="K37"/>
  <c r="M37"/>
  <c r="O37"/>
  <c r="R37"/>
  <c r="K38"/>
  <c r="O38"/>
  <c r="R38"/>
  <c r="Q38" s="1"/>
  <c r="R39"/>
  <c r="G39" s="1"/>
  <c r="M39"/>
  <c r="O39"/>
  <c r="E39"/>
  <c r="R40"/>
  <c r="E40"/>
  <c r="G40"/>
  <c r="M40"/>
  <c r="O40"/>
  <c r="Q40"/>
  <c r="M41"/>
  <c r="O41"/>
  <c r="R41"/>
  <c r="R43"/>
  <c r="I43" s="1"/>
  <c r="M43"/>
  <c r="O43"/>
  <c r="R44"/>
  <c r="G44" s="1"/>
  <c r="S44" s="1"/>
  <c r="I44"/>
  <c r="O44"/>
  <c r="Q44"/>
  <c r="R45"/>
  <c r="E45" s="1"/>
  <c r="G45"/>
  <c r="K45"/>
  <c r="M45"/>
  <c r="O45"/>
  <c r="R46"/>
  <c r="E46" s="1"/>
  <c r="I46"/>
  <c r="K46"/>
  <c r="M46"/>
  <c r="O46"/>
  <c r="K47"/>
  <c r="M47"/>
  <c r="O47"/>
  <c r="R47"/>
  <c r="R48"/>
  <c r="G48"/>
  <c r="I48"/>
  <c r="K48"/>
  <c r="M48"/>
  <c r="O48"/>
  <c r="Q48"/>
  <c r="R49"/>
  <c r="E49" s="1"/>
  <c r="I49"/>
  <c r="M49"/>
  <c r="O49"/>
  <c r="R50"/>
  <c r="E50" s="1"/>
  <c r="S50" s="1"/>
  <c r="I50"/>
  <c r="K50"/>
  <c r="M50"/>
  <c r="O50"/>
  <c r="K51"/>
  <c r="M51"/>
  <c r="O51"/>
  <c r="R51"/>
  <c r="R52"/>
  <c r="G52" s="1"/>
  <c r="K52"/>
  <c r="M52"/>
  <c r="O52"/>
  <c r="R53"/>
  <c r="E53" s="1"/>
  <c r="G53"/>
  <c r="K53"/>
  <c r="M53"/>
  <c r="O53"/>
  <c r="K54"/>
  <c r="M54"/>
  <c r="O54"/>
  <c r="R54"/>
  <c r="G7"/>
  <c r="E7"/>
  <c r="I7"/>
  <c r="Q7"/>
  <c r="I41"/>
  <c r="Q41"/>
  <c r="G41"/>
  <c r="K41"/>
  <c r="I19"/>
  <c r="Q19"/>
  <c r="G19"/>
  <c r="K19"/>
  <c r="G47"/>
  <c r="E47"/>
  <c r="I47"/>
  <c r="Q47"/>
  <c r="K7"/>
  <c r="E41"/>
  <c r="S41"/>
  <c r="E19"/>
  <c r="G51"/>
  <c r="E51"/>
  <c r="I51"/>
  <c r="Q51"/>
  <c r="G38"/>
  <c r="E38"/>
  <c r="I38"/>
  <c r="M38"/>
  <c r="I33"/>
  <c r="Q33"/>
  <c r="G33"/>
  <c r="G24"/>
  <c r="E24"/>
  <c r="M24"/>
  <c r="G20"/>
  <c r="E20"/>
  <c r="I15"/>
  <c r="Q15"/>
  <c r="G15"/>
  <c r="K15"/>
  <c r="O15"/>
  <c r="G12"/>
  <c r="O12"/>
  <c r="E12"/>
  <c r="I12"/>
  <c r="E33"/>
  <c r="S33" s="1"/>
  <c r="M33"/>
  <c r="I24"/>
  <c r="I54"/>
  <c r="Q54"/>
  <c r="G54"/>
  <c r="Q50"/>
  <c r="G50"/>
  <c r="Q46"/>
  <c r="G46"/>
  <c r="G43"/>
  <c r="E43"/>
  <c r="I37"/>
  <c r="Q37"/>
  <c r="G37"/>
  <c r="G34"/>
  <c r="E34"/>
  <c r="M34"/>
  <c r="Q23"/>
  <c r="G23"/>
  <c r="G16"/>
  <c r="E16"/>
  <c r="I16"/>
  <c r="M16"/>
  <c r="I11"/>
  <c r="Q11"/>
  <c r="G11"/>
  <c r="O11"/>
  <c r="I6"/>
  <c r="G6"/>
  <c r="E54"/>
  <c r="K43"/>
  <c r="K39"/>
  <c r="E37"/>
  <c r="S37" s="1"/>
  <c r="I34"/>
  <c r="M25"/>
  <c r="K6"/>
  <c r="K44"/>
  <c r="M44"/>
  <c r="K35"/>
  <c r="K17"/>
  <c r="M17"/>
  <c r="K8"/>
  <c r="M8"/>
  <c r="S54"/>
  <c r="S19"/>
  <c r="S51"/>
  <c r="S7"/>
  <c r="A2" i="103"/>
  <c r="I7" i="157"/>
  <c r="I8"/>
  <c r="I9"/>
  <c r="I10"/>
  <c r="I11"/>
  <c r="I12"/>
  <c r="I13"/>
  <c r="I14"/>
  <c r="I15"/>
  <c r="I16"/>
  <c r="I17"/>
  <c r="I18"/>
  <c r="I19"/>
  <c r="I20"/>
  <c r="I21"/>
  <c r="I22"/>
  <c r="I23"/>
  <c r="I24"/>
  <c r="I25"/>
  <c r="I26"/>
  <c r="I27"/>
  <c r="D8" i="6"/>
  <c r="D19"/>
  <c r="D29"/>
  <c r="D38" s="1"/>
  <c r="E8"/>
  <c r="F8"/>
  <c r="G8"/>
  <c r="H8"/>
  <c r="I8"/>
  <c r="L8"/>
  <c r="M8"/>
  <c r="P8"/>
  <c r="R9"/>
  <c r="R10"/>
  <c r="R11"/>
  <c r="R12"/>
  <c r="R13"/>
  <c r="R14"/>
  <c r="R15"/>
  <c r="R16"/>
  <c r="R18"/>
  <c r="E19"/>
  <c r="F19"/>
  <c r="F29"/>
  <c r="G19"/>
  <c r="H19"/>
  <c r="I19"/>
  <c r="R20"/>
  <c r="R21"/>
  <c r="R22"/>
  <c r="R23"/>
  <c r="R25"/>
  <c r="R26"/>
  <c r="R27"/>
  <c r="R28"/>
  <c r="E29"/>
  <c r="G29"/>
  <c r="H29"/>
  <c r="I29"/>
  <c r="L29"/>
  <c r="M29"/>
  <c r="R30"/>
  <c r="R31"/>
  <c r="R32"/>
  <c r="R33"/>
  <c r="R34"/>
  <c r="R35"/>
  <c r="R36"/>
  <c r="R37"/>
  <c r="B38"/>
  <c r="R8"/>
  <c r="L38"/>
  <c r="E38"/>
  <c r="B7" i="146"/>
  <c r="C7"/>
  <c r="E7"/>
  <c r="F7"/>
  <c r="H7"/>
  <c r="I7"/>
  <c r="K7"/>
  <c r="L7"/>
  <c r="L26"/>
  <c r="L17"/>
  <c r="O7"/>
  <c r="P7"/>
  <c r="R7"/>
  <c r="S7"/>
  <c r="T9"/>
  <c r="T11"/>
  <c r="T12"/>
  <c r="T13"/>
  <c r="T14"/>
  <c r="U7"/>
  <c r="V7"/>
  <c r="X7"/>
  <c r="Y7"/>
  <c r="Y26"/>
  <c r="Y17"/>
  <c r="Y35" s="1"/>
  <c r="D8"/>
  <c r="G8"/>
  <c r="J8"/>
  <c r="M8"/>
  <c r="Q8"/>
  <c r="W8"/>
  <c r="Z8"/>
  <c r="AA8"/>
  <c r="AB8"/>
  <c r="D9"/>
  <c r="G9"/>
  <c r="J9"/>
  <c r="M9"/>
  <c r="Q9"/>
  <c r="W9"/>
  <c r="Z9"/>
  <c r="AA9"/>
  <c r="AB9"/>
  <c r="AB10"/>
  <c r="AB11"/>
  <c r="AB12"/>
  <c r="AB13"/>
  <c r="AB14"/>
  <c r="AB15"/>
  <c r="AB16"/>
  <c r="D10"/>
  <c r="G10"/>
  <c r="J10"/>
  <c r="M10"/>
  <c r="Q10"/>
  <c r="W10"/>
  <c r="Z10"/>
  <c r="AA10"/>
  <c r="D11"/>
  <c r="G11"/>
  <c r="J11"/>
  <c r="M11"/>
  <c r="Q11"/>
  <c r="W11"/>
  <c r="Z11"/>
  <c r="AA11"/>
  <c r="D12"/>
  <c r="G12"/>
  <c r="J12"/>
  <c r="M12"/>
  <c r="Q12"/>
  <c r="W12"/>
  <c r="Z12"/>
  <c r="AA12"/>
  <c r="D13"/>
  <c r="G13"/>
  <c r="J13"/>
  <c r="M13"/>
  <c r="Q13"/>
  <c r="W13"/>
  <c r="Z13"/>
  <c r="AA13"/>
  <c r="D14"/>
  <c r="G14"/>
  <c r="J14"/>
  <c r="M14"/>
  <c r="Q14"/>
  <c r="W14"/>
  <c r="Z14"/>
  <c r="AA14"/>
  <c r="D15"/>
  <c r="G15"/>
  <c r="J15"/>
  <c r="M15"/>
  <c r="Q15"/>
  <c r="W15"/>
  <c r="Z15"/>
  <c r="AA15"/>
  <c r="D16"/>
  <c r="G16"/>
  <c r="J16"/>
  <c r="Q16"/>
  <c r="W16"/>
  <c r="Z16"/>
  <c r="AA16"/>
  <c r="B17"/>
  <c r="C17"/>
  <c r="C26"/>
  <c r="C35" s="1"/>
  <c r="E17"/>
  <c r="F17"/>
  <c r="H17"/>
  <c r="I17"/>
  <c r="J18"/>
  <c r="J19"/>
  <c r="J21"/>
  <c r="J22"/>
  <c r="J23"/>
  <c r="J24"/>
  <c r="J25"/>
  <c r="K17"/>
  <c r="O17"/>
  <c r="P17"/>
  <c r="R17"/>
  <c r="S17"/>
  <c r="U17"/>
  <c r="V17"/>
  <c r="X17"/>
  <c r="D18"/>
  <c r="G18"/>
  <c r="M18"/>
  <c r="M20"/>
  <c r="M21"/>
  <c r="M22"/>
  <c r="M24"/>
  <c r="M25"/>
  <c r="Q18"/>
  <c r="T18"/>
  <c r="T19"/>
  <c r="T17" s="1"/>
  <c r="W18"/>
  <c r="Z18"/>
  <c r="Z19"/>
  <c r="Z20"/>
  <c r="Z21"/>
  <c r="Z22"/>
  <c r="Z23"/>
  <c r="Z24"/>
  <c r="Z25"/>
  <c r="AA18"/>
  <c r="AB18"/>
  <c r="AB19"/>
  <c r="AB20"/>
  <c r="AB21"/>
  <c r="AB22"/>
  <c r="AB23"/>
  <c r="AB24"/>
  <c r="AB25"/>
  <c r="D19"/>
  <c r="G19"/>
  <c r="Q19"/>
  <c r="W19"/>
  <c r="AC19"/>
  <c r="AA19"/>
  <c r="AA20"/>
  <c r="AA21"/>
  <c r="AA22"/>
  <c r="AA23"/>
  <c r="AA24"/>
  <c r="AA25"/>
  <c r="AA17"/>
  <c r="D20"/>
  <c r="G20"/>
  <c r="Q20"/>
  <c r="W20"/>
  <c r="D21"/>
  <c r="G21"/>
  <c r="Q21"/>
  <c r="W21"/>
  <c r="D22"/>
  <c r="G22"/>
  <c r="Q22"/>
  <c r="W22"/>
  <c r="W23"/>
  <c r="W24"/>
  <c r="W25"/>
  <c r="W17"/>
  <c r="D23"/>
  <c r="G23"/>
  <c r="Q23"/>
  <c r="D24"/>
  <c r="G24"/>
  <c r="Q24"/>
  <c r="D25"/>
  <c r="G25"/>
  <c r="Q25"/>
  <c r="B26"/>
  <c r="E26"/>
  <c r="E35"/>
  <c r="F26"/>
  <c r="H26"/>
  <c r="H35" s="1"/>
  <c r="I26"/>
  <c r="I35" s="1"/>
  <c r="K26"/>
  <c r="M29"/>
  <c r="M30"/>
  <c r="M31"/>
  <c r="M33"/>
  <c r="O26"/>
  <c r="O35"/>
  <c r="P26"/>
  <c r="R26"/>
  <c r="R35" s="1"/>
  <c r="S26"/>
  <c r="U26"/>
  <c r="U35" s="1"/>
  <c r="V26"/>
  <c r="V35" s="1"/>
  <c r="X26"/>
  <c r="Z27"/>
  <c r="Z28"/>
  <c r="Z26" s="1"/>
  <c r="Z29"/>
  <c r="Z30"/>
  <c r="Z31"/>
  <c r="Z32"/>
  <c r="Z33"/>
  <c r="Z34"/>
  <c r="D27"/>
  <c r="G27"/>
  <c r="J27"/>
  <c r="Q27"/>
  <c r="W27"/>
  <c r="W28"/>
  <c r="W29"/>
  <c r="W30"/>
  <c r="W31"/>
  <c r="W32"/>
  <c r="W33"/>
  <c r="W34"/>
  <c r="AA27"/>
  <c r="AB27"/>
  <c r="D28"/>
  <c r="G28"/>
  <c r="J28"/>
  <c r="Q28"/>
  <c r="T28"/>
  <c r="AA28"/>
  <c r="AB28"/>
  <c r="D29"/>
  <c r="G29"/>
  <c r="J29"/>
  <c r="Q29"/>
  <c r="AA29"/>
  <c r="AB29"/>
  <c r="D30"/>
  <c r="G30"/>
  <c r="J30"/>
  <c r="Q30"/>
  <c r="AA30"/>
  <c r="AB30"/>
  <c r="D31"/>
  <c r="G31"/>
  <c r="J31"/>
  <c r="Q31"/>
  <c r="AC31" s="1"/>
  <c r="AA31"/>
  <c r="AB31"/>
  <c r="D32"/>
  <c r="G32"/>
  <c r="J32"/>
  <c r="Q32"/>
  <c r="AA32"/>
  <c r="AB32"/>
  <c r="D33"/>
  <c r="G33"/>
  <c r="J33"/>
  <c r="Q33"/>
  <c r="T33"/>
  <c r="AA33"/>
  <c r="AB33"/>
  <c r="D34"/>
  <c r="G34"/>
  <c r="J34"/>
  <c r="Q34"/>
  <c r="AA34"/>
  <c r="AB34"/>
  <c r="K35"/>
  <c r="P35"/>
  <c r="X35"/>
  <c r="G17"/>
  <c r="AC18"/>
  <c r="AC29"/>
  <c r="AC14"/>
  <c r="AC33"/>
  <c r="Z7"/>
  <c r="AC16"/>
  <c r="AA7"/>
  <c r="M7"/>
  <c r="AC21"/>
  <c r="AC11"/>
  <c r="AC9"/>
  <c r="D7"/>
  <c r="AC20"/>
  <c r="AC15"/>
  <c r="AC10"/>
  <c r="Q7"/>
  <c r="W7"/>
  <c r="G7"/>
  <c r="AC32"/>
  <c r="AC28"/>
  <c r="T26"/>
  <c r="G26"/>
  <c r="G35"/>
  <c r="S35"/>
  <c r="Q17"/>
  <c r="AC8"/>
  <c r="J26"/>
  <c r="AB26"/>
  <c r="F35"/>
  <c r="B35"/>
  <c r="J7"/>
  <c r="D17"/>
  <c r="D7" i="21"/>
  <c r="G7"/>
  <c r="H7"/>
  <c r="I7"/>
  <c r="I8"/>
  <c r="I9"/>
  <c r="I10"/>
  <c r="I11"/>
  <c r="D8"/>
  <c r="G8"/>
  <c r="H8"/>
  <c r="J8" s="1"/>
  <c r="D9"/>
  <c r="G9"/>
  <c r="H9"/>
  <c r="J9" s="1"/>
  <c r="D10"/>
  <c r="G10"/>
  <c r="H10"/>
  <c r="J10" s="1"/>
  <c r="D11"/>
  <c r="G11"/>
  <c r="H11"/>
  <c r="J11" s="1"/>
  <c r="J7"/>
  <c r="B2" i="9"/>
  <c r="G15"/>
  <c r="G16"/>
  <c r="B20"/>
  <c r="C5" i="145"/>
  <c r="E5"/>
  <c r="E6"/>
  <c r="E7"/>
  <c r="E8"/>
  <c r="E9"/>
  <c r="E10"/>
  <c r="E11"/>
  <c r="E12"/>
  <c r="E13"/>
  <c r="E14"/>
  <c r="C15"/>
  <c r="E16"/>
  <c r="E17"/>
  <c r="E18"/>
  <c r="E19"/>
  <c r="E20"/>
  <c r="E21"/>
  <c r="E22"/>
  <c r="E23"/>
  <c r="C24"/>
  <c r="E25"/>
  <c r="E26"/>
  <c r="E27"/>
  <c r="E28"/>
  <c r="E29"/>
  <c r="E30"/>
  <c r="E31"/>
  <c r="E32"/>
  <c r="E24"/>
  <c r="F15"/>
  <c r="E15"/>
  <c r="F6"/>
  <c r="F8"/>
  <c r="F10"/>
  <c r="F12"/>
  <c r="F14"/>
  <c r="F17"/>
  <c r="F19"/>
  <c r="F21"/>
  <c r="F23"/>
  <c r="F26"/>
  <c r="F30"/>
  <c r="F32"/>
  <c r="F33"/>
  <c r="F9"/>
  <c r="F27"/>
  <c r="F5"/>
  <c r="F13"/>
  <c r="F18"/>
  <c r="F31"/>
  <c r="F16"/>
  <c r="F11"/>
  <c r="F20"/>
  <c r="F29"/>
  <c r="F24"/>
  <c r="B2" i="10"/>
  <c r="D6"/>
  <c r="F6"/>
  <c r="G6"/>
  <c r="I6"/>
  <c r="J6"/>
  <c r="D7"/>
  <c r="F7"/>
  <c r="G7" s="1"/>
  <c r="I7"/>
  <c r="J7" s="1"/>
  <c r="D8"/>
  <c r="F8"/>
  <c r="G8"/>
  <c r="I8"/>
  <c r="J8"/>
  <c r="D9"/>
  <c r="F9"/>
  <c r="G9" s="1"/>
  <c r="I9"/>
  <c r="J9" s="1"/>
  <c r="D10"/>
  <c r="F10"/>
  <c r="G10"/>
  <c r="I10"/>
  <c r="J10"/>
  <c r="D11"/>
  <c r="F11"/>
  <c r="G11" s="1"/>
  <c r="I11"/>
  <c r="J11" s="1"/>
  <c r="D12"/>
  <c r="F12"/>
  <c r="G12"/>
  <c r="I12"/>
  <c r="J12"/>
  <c r="D13"/>
  <c r="F13"/>
  <c r="G13" s="1"/>
  <c r="I13"/>
  <c r="J13" s="1"/>
  <c r="D14"/>
  <c r="F14"/>
  <c r="G14"/>
  <c r="I14"/>
  <c r="J14"/>
  <c r="D15"/>
  <c r="F15"/>
  <c r="G15" s="1"/>
  <c r="I15"/>
  <c r="J15" s="1"/>
  <c r="D16"/>
  <c r="F16"/>
  <c r="G16"/>
  <c r="I16"/>
  <c r="J16"/>
  <c r="D17"/>
  <c r="F17"/>
  <c r="G17" s="1"/>
  <c r="I17"/>
  <c r="J17" s="1"/>
  <c r="B7" i="118"/>
  <c r="D7" s="1"/>
  <c r="C7"/>
  <c r="E7"/>
  <c r="F7"/>
  <c r="D8"/>
  <c r="H8"/>
  <c r="I8"/>
  <c r="D9"/>
  <c r="G9"/>
  <c r="H9"/>
  <c r="I9"/>
  <c r="J9" s="1"/>
  <c r="D10"/>
  <c r="H10"/>
  <c r="J10" s="1"/>
  <c r="I10"/>
  <c r="D11"/>
  <c r="G11"/>
  <c r="H11"/>
  <c r="I11"/>
  <c r="J11"/>
  <c r="D12"/>
  <c r="H12"/>
  <c r="J12" s="1"/>
  <c r="I12"/>
  <c r="D13"/>
  <c r="H13"/>
  <c r="I13"/>
  <c r="D14"/>
  <c r="H14"/>
  <c r="I14"/>
  <c r="J14"/>
  <c r="D15"/>
  <c r="G15"/>
  <c r="H15"/>
  <c r="I15"/>
  <c r="D16"/>
  <c r="H16"/>
  <c r="I16"/>
  <c r="B17"/>
  <c r="C17"/>
  <c r="E17"/>
  <c r="F17"/>
  <c r="D18"/>
  <c r="H18"/>
  <c r="I18"/>
  <c r="J18" s="1"/>
  <c r="D19"/>
  <c r="G19"/>
  <c r="H19"/>
  <c r="I19"/>
  <c r="D20"/>
  <c r="H20"/>
  <c r="I20"/>
  <c r="D21"/>
  <c r="H21"/>
  <c r="I21"/>
  <c r="J21" s="1"/>
  <c r="D22"/>
  <c r="H22"/>
  <c r="I22"/>
  <c r="D23"/>
  <c r="G23"/>
  <c r="H23"/>
  <c r="I23"/>
  <c r="D24"/>
  <c r="G24"/>
  <c r="H24"/>
  <c r="I24"/>
  <c r="D25"/>
  <c r="H25"/>
  <c r="I25"/>
  <c r="J25" s="1"/>
  <c r="B26"/>
  <c r="C26"/>
  <c r="D26" s="1"/>
  <c r="E26"/>
  <c r="F26"/>
  <c r="F35" s="1"/>
  <c r="D27"/>
  <c r="H27"/>
  <c r="J27" s="1"/>
  <c r="I27"/>
  <c r="G28"/>
  <c r="H28"/>
  <c r="I28"/>
  <c r="D29"/>
  <c r="H29"/>
  <c r="I29"/>
  <c r="J29"/>
  <c r="D30"/>
  <c r="G30"/>
  <c r="H30"/>
  <c r="I30"/>
  <c r="J30" s="1"/>
  <c r="D31"/>
  <c r="H31"/>
  <c r="I31"/>
  <c r="G32"/>
  <c r="H32"/>
  <c r="I32"/>
  <c r="J32" s="1"/>
  <c r="D33"/>
  <c r="H33"/>
  <c r="I33"/>
  <c r="D34"/>
  <c r="H34"/>
  <c r="I34"/>
  <c r="J34" s="1"/>
  <c r="E35"/>
  <c r="H26"/>
  <c r="J26" s="1"/>
  <c r="I17"/>
  <c r="D17"/>
  <c r="I26"/>
  <c r="J28"/>
  <c r="G7"/>
  <c r="H7"/>
  <c r="J8"/>
  <c r="D26" i="135"/>
  <c r="E8" s="1"/>
  <c r="F8"/>
  <c r="H26"/>
  <c r="L8"/>
  <c r="N8"/>
  <c r="P8"/>
  <c r="R8" s="1"/>
  <c r="F9"/>
  <c r="L9"/>
  <c r="N9"/>
  <c r="P9"/>
  <c r="E10"/>
  <c r="F10"/>
  <c r="L10"/>
  <c r="N10"/>
  <c r="P10"/>
  <c r="R10" s="1"/>
  <c r="B26"/>
  <c r="F11"/>
  <c r="L11"/>
  <c r="N11"/>
  <c r="P11"/>
  <c r="F12"/>
  <c r="J26"/>
  <c r="K12" s="1"/>
  <c r="L12"/>
  <c r="N12"/>
  <c r="P12"/>
  <c r="F13"/>
  <c r="L13"/>
  <c r="N13"/>
  <c r="P13"/>
  <c r="R13" s="1"/>
  <c r="E14"/>
  <c r="F14"/>
  <c r="L14"/>
  <c r="N14"/>
  <c r="P14"/>
  <c r="R14"/>
  <c r="F15"/>
  <c r="L15"/>
  <c r="N15"/>
  <c r="P15"/>
  <c r="F16"/>
  <c r="K16"/>
  <c r="L16"/>
  <c r="N16"/>
  <c r="P16"/>
  <c r="F17"/>
  <c r="L17"/>
  <c r="N17"/>
  <c r="P17"/>
  <c r="R17"/>
  <c r="E18"/>
  <c r="F18"/>
  <c r="L18"/>
  <c r="N18"/>
  <c r="P18"/>
  <c r="R18"/>
  <c r="E19"/>
  <c r="F19"/>
  <c r="L19"/>
  <c r="N19"/>
  <c r="P19"/>
  <c r="R19"/>
  <c r="E20"/>
  <c r="F20"/>
  <c r="L20"/>
  <c r="N20"/>
  <c r="P20"/>
  <c r="R20"/>
  <c r="E21"/>
  <c r="F21"/>
  <c r="L21"/>
  <c r="N21"/>
  <c r="P21"/>
  <c r="E22"/>
  <c r="F22"/>
  <c r="K22"/>
  <c r="L22"/>
  <c r="N22"/>
  <c r="P22"/>
  <c r="R22"/>
  <c r="E23"/>
  <c r="F23"/>
  <c r="L23"/>
  <c r="N23"/>
  <c r="P23"/>
  <c r="E24"/>
  <c r="F24"/>
  <c r="K24"/>
  <c r="L24"/>
  <c r="N24"/>
  <c r="P24"/>
  <c r="R24"/>
  <c r="E25"/>
  <c r="F25"/>
  <c r="L25"/>
  <c r="N25"/>
  <c r="P25"/>
  <c r="K8"/>
  <c r="R12"/>
  <c r="R15"/>
  <c r="E9"/>
  <c r="E11"/>
  <c r="E15"/>
  <c r="K14"/>
  <c r="E12"/>
  <c r="K9"/>
  <c r="K11"/>
  <c r="K15"/>
  <c r="E16"/>
  <c r="G7" i="16"/>
  <c r="F8"/>
  <c r="G8"/>
  <c r="F9"/>
  <c r="G10"/>
  <c r="F10"/>
  <c r="G18"/>
  <c r="G19"/>
  <c r="F19"/>
  <c r="F20"/>
  <c r="G20"/>
  <c r="G9"/>
  <c r="B9" i="17"/>
  <c r="R9"/>
  <c r="M9" s="1"/>
  <c r="B10"/>
  <c r="G10" s="1"/>
  <c r="R10"/>
  <c r="M10"/>
  <c r="B11"/>
  <c r="I11"/>
  <c r="R11"/>
  <c r="M11"/>
  <c r="B12"/>
  <c r="R12"/>
  <c r="M12" s="1"/>
  <c r="B13"/>
  <c r="E13" s="1"/>
  <c r="R13"/>
  <c r="M13" s="1"/>
  <c r="B14"/>
  <c r="I14" s="1"/>
  <c r="R14"/>
  <c r="M14" s="1"/>
  <c r="B15"/>
  <c r="I15" s="1"/>
  <c r="R15"/>
  <c r="M15" s="1"/>
  <c r="B16"/>
  <c r="E16" s="1"/>
  <c r="R16"/>
  <c r="M16" s="1"/>
  <c r="B17"/>
  <c r="R17"/>
  <c r="M17" s="1"/>
  <c r="B19"/>
  <c r="E19" s="1"/>
  <c r="R19"/>
  <c r="O19" s="1"/>
  <c r="G19"/>
  <c r="B20"/>
  <c r="E20"/>
  <c r="R20"/>
  <c r="C20"/>
  <c r="O20"/>
  <c r="B21"/>
  <c r="E21" s="1"/>
  <c r="R21"/>
  <c r="O21" s="1"/>
  <c r="G21"/>
  <c r="B22"/>
  <c r="E22"/>
  <c r="R22"/>
  <c r="C22"/>
  <c r="B23"/>
  <c r="E23"/>
  <c r="R23"/>
  <c r="O23"/>
  <c r="G23"/>
  <c r="B24"/>
  <c r="E24" s="1"/>
  <c r="R24"/>
  <c r="O24" s="1"/>
  <c r="B25"/>
  <c r="E25" s="1"/>
  <c r="R25"/>
  <c r="M25" s="1"/>
  <c r="B26"/>
  <c r="E26" s="1"/>
  <c r="R26"/>
  <c r="Q26" s="1"/>
  <c r="B28"/>
  <c r="K28" s="1"/>
  <c r="R28"/>
  <c r="M28" s="1"/>
  <c r="B29"/>
  <c r="K29" s="1"/>
  <c r="R29"/>
  <c r="M29" s="1"/>
  <c r="B30"/>
  <c r="I30" s="1"/>
  <c r="R30"/>
  <c r="M30" s="1"/>
  <c r="B31"/>
  <c r="G31" s="1"/>
  <c r="R31"/>
  <c r="M31" s="1"/>
  <c r="B32"/>
  <c r="E32" s="1"/>
  <c r="R32"/>
  <c r="M32" s="1"/>
  <c r="B33"/>
  <c r="I33" s="1"/>
  <c r="R33"/>
  <c r="M33" s="1"/>
  <c r="B34"/>
  <c r="K34" s="1"/>
  <c r="R34"/>
  <c r="M34" s="1"/>
  <c r="B35"/>
  <c r="E35" s="1"/>
  <c r="R35"/>
  <c r="M35" s="1"/>
  <c r="H36"/>
  <c r="K10"/>
  <c r="M26"/>
  <c r="Q24"/>
  <c r="Q23"/>
  <c r="G12"/>
  <c r="K12"/>
  <c r="K9"/>
  <c r="Q22"/>
  <c r="M22"/>
  <c r="M21"/>
  <c r="G14"/>
  <c r="C11"/>
  <c r="K11"/>
  <c r="G11"/>
  <c r="J36"/>
  <c r="E15"/>
  <c r="E17"/>
  <c r="E12"/>
  <c r="Q20"/>
  <c r="M20"/>
  <c r="M19"/>
  <c r="G16"/>
  <c r="K16"/>
  <c r="C13"/>
  <c r="G13"/>
  <c r="F36"/>
  <c r="I28"/>
  <c r="O25"/>
  <c r="C24"/>
  <c r="I17"/>
  <c r="E14"/>
  <c r="I12"/>
  <c r="E11"/>
  <c r="F9" i="18"/>
  <c r="F21" s="1"/>
  <c r="F10"/>
  <c r="D11"/>
  <c r="E11"/>
  <c r="F13"/>
  <c r="F14"/>
  <c r="D15"/>
  <c r="E15"/>
  <c r="F17"/>
  <c r="F19" s="1"/>
  <c r="F18"/>
  <c r="D19"/>
  <c r="E19"/>
  <c r="D21"/>
  <c r="E21"/>
  <c r="D22"/>
  <c r="E22"/>
  <c r="D23"/>
  <c r="F30"/>
  <c r="F31"/>
  <c r="D32"/>
  <c r="E32"/>
  <c r="F34"/>
  <c r="D46"/>
  <c r="E46"/>
  <c r="F35"/>
  <c r="D36"/>
  <c r="E36"/>
  <c r="F38"/>
  <c r="F39"/>
  <c r="F40" s="1"/>
  <c r="D40"/>
  <c r="E40"/>
  <c r="F42"/>
  <c r="F43"/>
  <c r="D44"/>
  <c r="E44"/>
  <c r="D47"/>
  <c r="D48" s="1"/>
  <c r="E47"/>
  <c r="F47"/>
  <c r="G31" s="1"/>
  <c r="E48"/>
  <c r="C7" i="19"/>
  <c r="D7"/>
  <c r="F7"/>
  <c r="G7"/>
  <c r="H7"/>
  <c r="E8"/>
  <c r="H8"/>
  <c r="E9"/>
  <c r="H9"/>
  <c r="E10"/>
  <c r="H10"/>
  <c r="E11"/>
  <c r="H11"/>
  <c r="E12"/>
  <c r="H12"/>
  <c r="E13"/>
  <c r="H13"/>
  <c r="E14"/>
  <c r="H14"/>
  <c r="E15"/>
  <c r="H15"/>
  <c r="E16"/>
  <c r="H16"/>
  <c r="C17"/>
  <c r="D17"/>
  <c r="E17" s="1"/>
  <c r="F17"/>
  <c r="G17"/>
  <c r="H17" s="1"/>
  <c r="E18"/>
  <c r="H18"/>
  <c r="E19"/>
  <c r="H19"/>
  <c r="E20"/>
  <c r="H20"/>
  <c r="E21"/>
  <c r="H21"/>
  <c r="E22"/>
  <c r="H22"/>
  <c r="E23"/>
  <c r="H23"/>
  <c r="E24"/>
  <c r="H24"/>
  <c r="E25"/>
  <c r="H25"/>
  <c r="C26"/>
  <c r="C36" s="1"/>
  <c r="D26"/>
  <c r="F26"/>
  <c r="G26"/>
  <c r="H26" s="1"/>
  <c r="H36" s="1"/>
  <c r="H38" s="1"/>
  <c r="H37"/>
  <c r="E27"/>
  <c r="H27"/>
  <c r="E28"/>
  <c r="H28"/>
  <c r="E29"/>
  <c r="H29"/>
  <c r="E30"/>
  <c r="H30"/>
  <c r="E31"/>
  <c r="H31"/>
  <c r="E32"/>
  <c r="H32"/>
  <c r="E33"/>
  <c r="H33"/>
  <c r="E34"/>
  <c r="H34"/>
  <c r="F36"/>
  <c r="E37"/>
  <c r="C56"/>
  <c r="E49" s="1"/>
  <c r="E51"/>
  <c r="F56"/>
  <c r="H50" s="1"/>
  <c r="H54"/>
  <c r="H53"/>
  <c r="B2" i="105"/>
  <c r="A2" i="144"/>
  <c r="A2" i="107"/>
  <c r="A2" i="141"/>
  <c r="B2" i="23"/>
  <c r="C13"/>
  <c r="C14"/>
  <c r="D31"/>
  <c r="D40"/>
  <c r="F14"/>
  <c r="H14"/>
  <c r="H31"/>
  <c r="H40"/>
  <c r="I31"/>
  <c r="I40"/>
  <c r="M14"/>
  <c r="M31"/>
  <c r="M40"/>
  <c r="C31"/>
  <c r="E31"/>
  <c r="F31"/>
  <c r="G31"/>
  <c r="G40"/>
  <c r="G12"/>
  <c r="C40"/>
  <c r="E40"/>
  <c r="F40"/>
  <c r="F12" s="1"/>
  <c r="J12"/>
  <c r="B13" i="24"/>
  <c r="B23"/>
  <c r="B32"/>
  <c r="B12"/>
  <c r="D32"/>
  <c r="A2" i="25"/>
  <c r="B11"/>
  <c r="D13" i="26"/>
  <c r="D23"/>
  <c r="D32"/>
  <c r="B13" i="128"/>
  <c r="B23"/>
  <c r="B32"/>
  <c r="D11"/>
  <c r="B12"/>
  <c r="C11"/>
  <c r="E11" s="1"/>
  <c r="I8" i="27"/>
  <c r="D43" i="120" s="1"/>
  <c r="I13" i="27"/>
  <c r="I18"/>
  <c r="D45" i="120" s="1"/>
  <c r="I23" i="27"/>
  <c r="I8" i="28"/>
  <c r="I13"/>
  <c r="I18"/>
  <c r="I28"/>
  <c r="I25"/>
  <c r="I36"/>
  <c r="I19" i="29"/>
  <c r="M9" i="30"/>
  <c r="M14"/>
  <c r="M19"/>
  <c r="M24"/>
  <c r="N9"/>
  <c r="N14"/>
  <c r="N19"/>
  <c r="N24"/>
  <c r="M14" i="31"/>
  <c r="M19"/>
  <c r="M26"/>
  <c r="N14"/>
  <c r="N29"/>
  <c r="N19"/>
  <c r="N26"/>
  <c r="N18" s="1"/>
  <c r="N37"/>
  <c r="E20" i="32"/>
  <c r="F20"/>
  <c r="G20"/>
  <c r="H20"/>
  <c r="I20"/>
  <c r="J20"/>
  <c r="K20"/>
  <c r="L20"/>
  <c r="M20"/>
  <c r="N20"/>
  <c r="I8" i="33"/>
  <c r="I13"/>
  <c r="I18"/>
  <c r="I23"/>
  <c r="I13" i="34"/>
  <c r="I18"/>
  <c r="I25"/>
  <c r="I28"/>
  <c r="B7" i="37"/>
  <c r="C7"/>
  <c r="D7"/>
  <c r="E7"/>
  <c r="E17"/>
  <c r="E26"/>
  <c r="F7"/>
  <c r="G7"/>
  <c r="H7"/>
  <c r="I7"/>
  <c r="I17"/>
  <c r="I26"/>
  <c r="J7"/>
  <c r="K7"/>
  <c r="L7"/>
  <c r="M7"/>
  <c r="M26"/>
  <c r="O7"/>
  <c r="P7"/>
  <c r="Q7"/>
  <c r="R7"/>
  <c r="R17"/>
  <c r="R26"/>
  <c r="S7"/>
  <c r="T7"/>
  <c r="U7"/>
  <c r="V7"/>
  <c r="V17"/>
  <c r="V26"/>
  <c r="W7"/>
  <c r="B17"/>
  <c r="C17"/>
  <c r="D17"/>
  <c r="D26"/>
  <c r="F17"/>
  <c r="G17"/>
  <c r="H17"/>
  <c r="H35" s="1"/>
  <c r="H26"/>
  <c r="J17"/>
  <c r="K17"/>
  <c r="L17"/>
  <c r="L26"/>
  <c r="O17"/>
  <c r="O35" s="1"/>
  <c r="P17"/>
  <c r="Q17"/>
  <c r="Q26"/>
  <c r="Q35"/>
  <c r="U17"/>
  <c r="U26"/>
  <c r="W17"/>
  <c r="B26"/>
  <c r="C26"/>
  <c r="F26"/>
  <c r="G26"/>
  <c r="J26"/>
  <c r="O26"/>
  <c r="P26"/>
  <c r="P35" s="1"/>
  <c r="S26"/>
  <c r="S35" s="1"/>
  <c r="T26"/>
  <c r="W26"/>
  <c r="F35"/>
  <c r="W35"/>
  <c r="G35"/>
  <c r="C11" i="39"/>
  <c r="C12"/>
  <c r="D12"/>
  <c r="D22"/>
  <c r="D31"/>
  <c r="C22"/>
  <c r="C31"/>
  <c r="C10"/>
  <c r="A2" i="40"/>
  <c r="C11"/>
  <c r="C21"/>
  <c r="C30"/>
  <c r="B10"/>
  <c r="D21"/>
  <c r="D30"/>
  <c r="B2" i="140"/>
  <c r="C11"/>
  <c r="H12"/>
  <c r="H17" s="1"/>
  <c r="C17"/>
  <c r="C10"/>
  <c r="D17"/>
  <c r="D10"/>
  <c r="F17"/>
  <c r="F10" s="1"/>
  <c r="A16" i="83"/>
  <c r="L22"/>
  <c r="M22"/>
  <c r="L23"/>
  <c r="M23"/>
  <c r="N23"/>
  <c r="A2" i="46"/>
  <c r="A14"/>
  <c r="G19"/>
  <c r="G27" s="1"/>
  <c r="G32" s="1"/>
  <c r="G37"/>
  <c r="G42"/>
  <c r="G50"/>
  <c r="A2" i="114"/>
  <c r="G7"/>
  <c r="G15" s="1"/>
  <c r="G19"/>
  <c r="G25"/>
  <c r="G30"/>
  <c r="G38"/>
  <c r="A2" i="49"/>
  <c r="A2" i="51"/>
  <c r="L30"/>
  <c r="A2" i="52"/>
  <c r="B2" i="147"/>
  <c r="H13"/>
  <c r="B2" i="55"/>
  <c r="C20"/>
  <c r="B2" i="131"/>
  <c r="B26"/>
  <c r="A2" i="59"/>
  <c r="G10"/>
  <c r="G15"/>
  <c r="G26"/>
  <c r="A2" i="60"/>
  <c r="B12"/>
  <c r="B22"/>
  <c r="B31"/>
  <c r="C12"/>
  <c r="C22"/>
  <c r="C31"/>
  <c r="D12"/>
  <c r="D22"/>
  <c r="D31"/>
  <c r="F12"/>
  <c r="F10" s="1"/>
  <c r="G12"/>
  <c r="G22"/>
  <c r="G31"/>
  <c r="H12"/>
  <c r="H22"/>
  <c r="H31"/>
  <c r="B11"/>
  <c r="E12"/>
  <c r="E22"/>
  <c r="E31"/>
  <c r="E10" s="1"/>
  <c r="I12"/>
  <c r="I22"/>
  <c r="I31"/>
  <c r="F31"/>
  <c r="F22" s="1"/>
  <c r="A2" i="61"/>
  <c r="C35"/>
  <c r="C47" s="1"/>
  <c r="D73" i="120" s="1"/>
  <c r="D35" i="61"/>
  <c r="E35"/>
  <c r="E47" s="1"/>
  <c r="D75" i="120" s="1"/>
  <c r="F47" i="61"/>
  <c r="G35"/>
  <c r="G47" s="1"/>
  <c r="D47"/>
  <c r="A2" i="62"/>
  <c r="B19"/>
  <c r="F20" i="151"/>
  <c r="F29"/>
  <c r="F38"/>
  <c r="A2" i="65"/>
  <c r="A19"/>
  <c r="B24"/>
  <c r="C24"/>
  <c r="D24"/>
  <c r="E24"/>
  <c r="E33"/>
  <c r="E42"/>
  <c r="E49"/>
  <c r="F24"/>
  <c r="B33"/>
  <c r="C33"/>
  <c r="D33"/>
  <c r="D42"/>
  <c r="D49"/>
  <c r="F33"/>
  <c r="B42"/>
  <c r="B49" s="1"/>
  <c r="C42"/>
  <c r="C49"/>
  <c r="F42"/>
  <c r="F49"/>
  <c r="A2" i="138"/>
  <c r="J10"/>
  <c r="A2" i="69"/>
  <c r="A4" i="152"/>
  <c r="A2" i="72"/>
  <c r="B2" i="150"/>
  <c r="E9"/>
  <c r="F9"/>
  <c r="I9"/>
  <c r="J9"/>
  <c r="M9"/>
  <c r="N9"/>
  <c r="E20"/>
  <c r="F20"/>
  <c r="I20"/>
  <c r="J20"/>
  <c r="M20"/>
  <c r="N20"/>
  <c r="D12" i="120"/>
  <c r="D13"/>
  <c r="A1"/>
  <c r="D5"/>
  <c r="B6"/>
  <c r="D6"/>
  <c r="D7"/>
  <c r="B10"/>
  <c r="D10"/>
  <c r="D21"/>
  <c r="D24"/>
  <c r="B26"/>
  <c r="D26"/>
  <c r="D27"/>
  <c r="D28"/>
  <c r="B33"/>
  <c r="D33"/>
  <c r="D34"/>
  <c r="D35"/>
  <c r="B37"/>
  <c r="B38"/>
  <c r="B40"/>
  <c r="B43"/>
  <c r="D44"/>
  <c r="D46"/>
  <c r="D47"/>
  <c r="D48"/>
  <c r="B62"/>
  <c r="D62"/>
  <c r="B66"/>
  <c r="D66"/>
  <c r="D68"/>
  <c r="B70"/>
  <c r="D71"/>
  <c r="D74"/>
  <c r="D77"/>
  <c r="B79"/>
  <c r="D79"/>
  <c r="D80"/>
  <c r="D81"/>
  <c r="D82"/>
  <c r="D83"/>
  <c r="D86"/>
  <c r="D11"/>
  <c r="D14"/>
  <c r="A8" i="126"/>
  <c r="A11"/>
  <c r="F32" i="18"/>
  <c r="F15"/>
  <c r="C16" i="17"/>
  <c r="C12"/>
  <c r="C17"/>
  <c r="K17"/>
  <c r="G35"/>
  <c r="G32"/>
  <c r="K33"/>
  <c r="E33"/>
  <c r="I29"/>
  <c r="G17"/>
  <c r="K35"/>
  <c r="K30"/>
  <c r="C31"/>
  <c r="O22"/>
  <c r="I35"/>
  <c r="K25"/>
  <c r="O13"/>
  <c r="Q16"/>
  <c r="O11"/>
  <c r="R27"/>
  <c r="M27" s="1"/>
  <c r="Q29"/>
  <c r="O31"/>
  <c r="Q35"/>
  <c r="C34"/>
  <c r="O30"/>
  <c r="Q27"/>
  <c r="R18"/>
  <c r="K26"/>
  <c r="I26"/>
  <c r="K24"/>
  <c r="K22"/>
  <c r="K20"/>
  <c r="G24"/>
  <c r="K23"/>
  <c r="G22"/>
  <c r="G20"/>
  <c r="Q11"/>
  <c r="O15"/>
  <c r="Q10"/>
  <c r="C9"/>
  <c r="O16"/>
  <c r="O14"/>
  <c r="O10"/>
  <c r="I13"/>
  <c r="I16"/>
  <c r="I9"/>
  <c r="E9"/>
  <c r="G9"/>
  <c r="F18" i="16"/>
  <c r="F7"/>
  <c r="G17" i="118"/>
  <c r="J16"/>
  <c r="I7"/>
  <c r="J31"/>
  <c r="H17"/>
  <c r="J24"/>
  <c r="J15"/>
  <c r="J17"/>
  <c r="J33"/>
  <c r="J23"/>
  <c r="J13"/>
  <c r="C12" i="23"/>
  <c r="H49" i="19"/>
  <c r="H48"/>
  <c r="H51"/>
  <c r="E50"/>
  <c r="E54"/>
  <c r="G43" i="18"/>
  <c r="G39"/>
  <c r="O18" i="17"/>
  <c r="Q18"/>
  <c r="M18"/>
  <c r="K14" i="23"/>
  <c r="H15" i="21"/>
  <c r="D15"/>
  <c r="M26" i="146"/>
  <c r="AC24"/>
  <c r="AC22"/>
  <c r="E17" i="135"/>
  <c r="E13"/>
  <c r="F11" i="18"/>
  <c r="C35" i="17"/>
  <c r="E31"/>
  <c r="G30"/>
  <c r="C33"/>
  <c r="M23"/>
  <c r="K31"/>
  <c r="G34"/>
  <c r="O33"/>
  <c r="Q30"/>
  <c r="I24"/>
  <c r="I23"/>
  <c r="C23"/>
  <c r="I22"/>
  <c r="I21"/>
  <c r="I20"/>
  <c r="C19"/>
  <c r="Q15"/>
  <c r="Q9"/>
  <c r="K19" i="135"/>
  <c r="I15" i="21"/>
  <c r="G15"/>
  <c r="AC25" i="146"/>
  <c r="AC23"/>
  <c r="AB17"/>
  <c r="Q53" i="99"/>
  <c r="I53"/>
  <c r="E52"/>
  <c r="K49"/>
  <c r="E48"/>
  <c r="S48" s="1"/>
  <c r="Q45"/>
  <c r="I45"/>
  <c r="S45"/>
  <c r="E44"/>
  <c r="K40"/>
  <c r="I40"/>
  <c r="S40" s="1"/>
  <c r="Q36"/>
  <c r="Q25"/>
  <c r="S25" s="1"/>
  <c r="Q22"/>
  <c r="E21"/>
  <c r="S21" s="1"/>
  <c r="Q20"/>
  <c r="S20" s="1"/>
  <c r="M14"/>
  <c r="S14" s="1"/>
  <c r="I14"/>
  <c r="K45" i="154"/>
  <c r="O45"/>
  <c r="I45"/>
  <c r="K41"/>
  <c r="I41"/>
  <c r="Q37"/>
  <c r="M37"/>
  <c r="I37"/>
  <c r="K29"/>
  <c r="I29"/>
  <c r="E19"/>
  <c r="S19" s="1"/>
  <c r="Q7"/>
  <c r="C24" i="14"/>
  <c r="C22"/>
  <c r="C20"/>
  <c r="C18"/>
  <c r="C16"/>
  <c r="C14"/>
  <c r="C12"/>
  <c r="C10"/>
  <c r="E24"/>
  <c r="E22"/>
  <c r="E20"/>
  <c r="E18"/>
  <c r="E16"/>
  <c r="E14"/>
  <c r="E12"/>
  <c r="E10"/>
  <c r="I24"/>
  <c r="I22"/>
  <c r="I20"/>
  <c r="I18"/>
  <c r="I16"/>
  <c r="I14"/>
  <c r="I12"/>
  <c r="I10"/>
  <c r="K24"/>
  <c r="K22"/>
  <c r="K20"/>
  <c r="K18"/>
  <c r="K16"/>
  <c r="K14"/>
  <c r="K12"/>
  <c r="K10"/>
  <c r="K26"/>
  <c r="O20"/>
  <c r="O18"/>
  <c r="O16"/>
  <c r="O14"/>
  <c r="O12"/>
  <c r="O10"/>
  <c r="Q10"/>
  <c r="O27" i="17"/>
  <c r="AC17" i="146"/>
  <c r="E23" i="24"/>
  <c r="E13"/>
  <c r="D13"/>
  <c r="H38" i="6"/>
  <c r="D8" i="120" s="1"/>
  <c r="I38" i="6"/>
  <c r="G36" i="19"/>
  <c r="E26"/>
  <c r="R19" i="6"/>
  <c r="R29"/>
  <c r="P38"/>
  <c r="E48" i="154" l="1"/>
  <c r="S48" s="1"/>
  <c r="Q45"/>
  <c r="Q44"/>
  <c r="I36"/>
  <c r="S30"/>
  <c r="G29"/>
  <c r="O20"/>
  <c r="I11"/>
  <c r="K8"/>
  <c r="S8" s="1"/>
  <c r="M8"/>
  <c r="E7"/>
  <c r="S7"/>
  <c r="K33"/>
  <c r="E32" i="46"/>
  <c r="G21" i="59"/>
  <c r="G20" i="114"/>
  <c r="U35" i="37"/>
  <c r="R35"/>
  <c r="K35"/>
  <c r="E35"/>
  <c r="J10" i="132"/>
  <c r="G10" i="77"/>
  <c r="F10"/>
  <c r="E10"/>
  <c r="B10"/>
  <c r="I7" i="28"/>
  <c r="I7" i="33"/>
  <c r="M8" i="30"/>
  <c r="I7" i="27"/>
  <c r="C10" i="26"/>
  <c r="F10" i="25"/>
  <c r="B10"/>
  <c r="C11" i="24"/>
  <c r="M12" i="23"/>
  <c r="L12"/>
  <c r="D40" i="120" s="1"/>
  <c r="E32" i="128"/>
  <c r="I10" i="60"/>
  <c r="B9" i="40"/>
  <c r="G8" i="14"/>
  <c r="G11"/>
  <c r="G19"/>
  <c r="S53" i="99"/>
  <c r="G10" i="60"/>
  <c r="D10"/>
  <c r="B10"/>
  <c r="H10" i="140"/>
  <c r="C9" i="40"/>
  <c r="V35" i="37"/>
  <c r="T35"/>
  <c r="I35"/>
  <c r="D35"/>
  <c r="B35"/>
  <c r="N8" i="30"/>
  <c r="B11" i="128"/>
  <c r="H11" i="24"/>
  <c r="G11"/>
  <c r="K40" i="23"/>
  <c r="K31"/>
  <c r="G47" i="18"/>
  <c r="G35"/>
  <c r="J7" i="118"/>
  <c r="G35"/>
  <c r="B35"/>
  <c r="AC30" i="146"/>
  <c r="Q26"/>
  <c r="Q35" s="1"/>
  <c r="Z17"/>
  <c r="Z35" s="1"/>
  <c r="AC13"/>
  <c r="AB7"/>
  <c r="T7"/>
  <c r="T35" s="1"/>
  <c r="F38" i="6"/>
  <c r="D15" i="120" s="1"/>
  <c r="S46" i="99"/>
  <c r="S26"/>
  <c r="S15"/>
  <c r="S11"/>
  <c r="S16" i="154"/>
  <c r="D10" i="26"/>
  <c r="G35" i="139"/>
  <c r="H35" s="1"/>
  <c r="C22" i="16"/>
  <c r="F22" s="1"/>
  <c r="E22"/>
  <c r="R36" i="17"/>
  <c r="D31" i="120" s="1"/>
  <c r="E23" i="128"/>
  <c r="E17" i="34"/>
  <c r="F7"/>
  <c r="G17"/>
  <c r="R38" i="6"/>
  <c r="E11" i="24"/>
  <c r="D39" i="120" s="1"/>
  <c r="S37" i="154"/>
  <c r="S36" i="99"/>
  <c r="AB35" i="146"/>
  <c r="F45" i="151"/>
  <c r="D70" i="120" s="1"/>
  <c r="H10" i="60"/>
  <c r="C10"/>
  <c r="N22" i="83"/>
  <c r="D9" i="40"/>
  <c r="D10" i="39"/>
  <c r="C35" i="37"/>
  <c r="M35"/>
  <c r="L35"/>
  <c r="J35"/>
  <c r="I17" i="34"/>
  <c r="N36" i="31"/>
  <c r="M18"/>
  <c r="M36" s="1"/>
  <c r="I17" i="28"/>
  <c r="I35" s="1"/>
  <c r="E10" i="25"/>
  <c r="C10"/>
  <c r="D10"/>
  <c r="F11" i="24"/>
  <c r="B11"/>
  <c r="D38" i="120" s="1"/>
  <c r="H12" i="23"/>
  <c r="E7" i="19"/>
  <c r="E36" s="1"/>
  <c r="E38" s="1"/>
  <c r="F44" i="18"/>
  <c r="F46"/>
  <c r="F36"/>
  <c r="E23"/>
  <c r="F22"/>
  <c r="F23" s="1"/>
  <c r="F26" i="135"/>
  <c r="G23" s="1"/>
  <c r="R25"/>
  <c r="R23"/>
  <c r="R21"/>
  <c r="R11"/>
  <c r="R9"/>
  <c r="J22" i="118"/>
  <c r="J20"/>
  <c r="J19"/>
  <c r="J15" i="21"/>
  <c r="AC34" i="146"/>
  <c r="D26"/>
  <c r="D35" s="1"/>
  <c r="AA26"/>
  <c r="AA35" s="1"/>
  <c r="W26"/>
  <c r="W35" s="1"/>
  <c r="AC27"/>
  <c r="M17"/>
  <c r="M35" s="1"/>
  <c r="J17"/>
  <c r="J35" s="1"/>
  <c r="AC12"/>
  <c r="AC7" s="1"/>
  <c r="L35"/>
  <c r="G38" i="6"/>
  <c r="D9" i="120" s="1"/>
  <c r="M38" i="6"/>
  <c r="S16" i="99"/>
  <c r="S24"/>
  <c r="S47"/>
  <c r="Q52"/>
  <c r="I52"/>
  <c r="S52" s="1"/>
  <c r="Q49"/>
  <c r="G49"/>
  <c r="S49" s="1"/>
  <c r="Q43"/>
  <c r="S43" s="1"/>
  <c r="I39"/>
  <c r="S38"/>
  <c r="G22"/>
  <c r="S22" s="1"/>
  <c r="I18"/>
  <c r="S18" s="1"/>
  <c r="E17"/>
  <c r="S17" s="1"/>
  <c r="O17"/>
  <c r="S12"/>
  <c r="M6"/>
  <c r="S6" s="1"/>
  <c r="S17" i="154"/>
  <c r="S14"/>
  <c r="S18"/>
  <c r="S15"/>
  <c r="S31"/>
  <c r="G45"/>
  <c r="E44"/>
  <c r="S44" s="1"/>
  <c r="Q43"/>
  <c r="S43" s="1"/>
  <c r="Q41"/>
  <c r="M41"/>
  <c r="S41" s="1"/>
  <c r="Q40"/>
  <c r="S38"/>
  <c r="Q33"/>
  <c r="M33"/>
  <c r="Q32"/>
  <c r="Q29"/>
  <c r="M29"/>
  <c r="K20"/>
  <c r="I20"/>
  <c r="Q12"/>
  <c r="I12"/>
  <c r="B10" i="148"/>
  <c r="D85" i="120" s="1"/>
  <c r="I11" i="24"/>
  <c r="C23" i="14"/>
  <c r="C19"/>
  <c r="C15"/>
  <c r="C11"/>
  <c r="C26" s="1"/>
  <c r="E25"/>
  <c r="E17"/>
  <c r="E9"/>
  <c r="G22"/>
  <c r="G18"/>
  <c r="G14"/>
  <c r="G10"/>
  <c r="I23"/>
  <c r="I17"/>
  <c r="I9"/>
  <c r="O24"/>
  <c r="O15"/>
  <c r="O11"/>
  <c r="O26" s="1"/>
  <c r="Q25"/>
  <c r="Q23"/>
  <c r="Q21"/>
  <c r="Q19"/>
  <c r="Q17"/>
  <c r="Q15"/>
  <c r="Q13"/>
  <c r="Q11"/>
  <c r="Q26" s="1"/>
  <c r="R22"/>
  <c r="R18"/>
  <c r="R14"/>
  <c r="R10"/>
  <c r="R26" s="1"/>
  <c r="K7" i="139"/>
  <c r="K11"/>
  <c r="K15"/>
  <c r="K19"/>
  <c r="K23"/>
  <c r="K27"/>
  <c r="K31"/>
  <c r="K32"/>
  <c r="D35"/>
  <c r="K18" i="17"/>
  <c r="B18"/>
  <c r="C18" s="1"/>
  <c r="B27"/>
  <c r="D36"/>
  <c r="E10" i="39"/>
  <c r="F17" i="34"/>
  <c r="G35"/>
  <c r="H35"/>
  <c r="H35" i="118"/>
  <c r="I35" i="34"/>
  <c r="F48" i="18"/>
  <c r="G44" s="1"/>
  <c r="G38"/>
  <c r="G42"/>
  <c r="G14"/>
  <c r="G18"/>
  <c r="G40"/>
  <c r="G30"/>
  <c r="C8" i="135"/>
  <c r="C10"/>
  <c r="C12"/>
  <c r="C14"/>
  <c r="C17"/>
  <c r="C19"/>
  <c r="C21"/>
  <c r="C23"/>
  <c r="C25"/>
  <c r="C16"/>
  <c r="C9"/>
  <c r="C11"/>
  <c r="C13"/>
  <c r="C15"/>
  <c r="C18"/>
  <c r="C20"/>
  <c r="C22"/>
  <c r="C24"/>
  <c r="I8"/>
  <c r="I10"/>
  <c r="I12"/>
  <c r="I14"/>
  <c r="I16"/>
  <c r="I19"/>
  <c r="I21"/>
  <c r="I23"/>
  <c r="I25"/>
  <c r="I17"/>
  <c r="I9"/>
  <c r="I11"/>
  <c r="I13"/>
  <c r="I15"/>
  <c r="I18"/>
  <c r="I20"/>
  <c r="I22"/>
  <c r="I24"/>
  <c r="O36" i="17"/>
  <c r="M36"/>
  <c r="Q36"/>
  <c r="G32" i="18"/>
  <c r="N26" i="135"/>
  <c r="O24" s="1"/>
  <c r="O16"/>
  <c r="O8"/>
  <c r="E26"/>
  <c r="AC26" i="146"/>
  <c r="AC35" s="1"/>
  <c r="K18" i="135"/>
  <c r="P26"/>
  <c r="Q21" s="1"/>
  <c r="G16"/>
  <c r="O12" i="17"/>
  <c r="Q17"/>
  <c r="I19"/>
  <c r="C21"/>
  <c r="O29"/>
  <c r="Q32"/>
  <c r="O35"/>
  <c r="C29"/>
  <c r="C30"/>
  <c r="E34"/>
  <c r="E28"/>
  <c r="C32"/>
  <c r="E12" i="23"/>
  <c r="G10" i="18"/>
  <c r="G22" s="1"/>
  <c r="E52" i="19"/>
  <c r="E48"/>
  <c r="H52"/>
  <c r="H55"/>
  <c r="G34" i="18"/>
  <c r="G26" i="118"/>
  <c r="Q12" i="17"/>
  <c r="O9"/>
  <c r="Q13"/>
  <c r="O17"/>
  <c r="Q14"/>
  <c r="K21"/>
  <c r="K19"/>
  <c r="I25"/>
  <c r="G26"/>
  <c r="I32"/>
  <c r="Q28"/>
  <c r="O32"/>
  <c r="Q34"/>
  <c r="O28"/>
  <c r="O34"/>
  <c r="Q33"/>
  <c r="G25"/>
  <c r="G28"/>
  <c r="C26"/>
  <c r="Q31"/>
  <c r="G33"/>
  <c r="E29"/>
  <c r="G15"/>
  <c r="C28"/>
  <c r="K32"/>
  <c r="E30"/>
  <c r="I34"/>
  <c r="K15"/>
  <c r="I31"/>
  <c r="C15"/>
  <c r="C10"/>
  <c r="C14"/>
  <c r="D23" i="120"/>
  <c r="D22"/>
  <c r="D36" i="19"/>
  <c r="E53"/>
  <c r="G17" i="18"/>
  <c r="G9"/>
  <c r="C25" i="17"/>
  <c r="O26"/>
  <c r="K13"/>
  <c r="Q19"/>
  <c r="I10"/>
  <c r="E10"/>
  <c r="K14"/>
  <c r="Q21"/>
  <c r="M24"/>
  <c r="Q25"/>
  <c r="G29"/>
  <c r="G11" i="135"/>
  <c r="K17"/>
  <c r="K13"/>
  <c r="K10"/>
  <c r="L26"/>
  <c r="M25" s="1"/>
  <c r="R16"/>
  <c r="O25"/>
  <c r="K25"/>
  <c r="M24"/>
  <c r="O23"/>
  <c r="K23"/>
  <c r="O21"/>
  <c r="K21"/>
  <c r="O20"/>
  <c r="K20"/>
  <c r="M19"/>
  <c r="M17"/>
  <c r="O15"/>
  <c r="O13"/>
  <c r="O12"/>
  <c r="O11"/>
  <c r="O10"/>
  <c r="O9"/>
  <c r="M8"/>
  <c r="C35" i="118"/>
  <c r="I35" s="1"/>
  <c r="F35" i="34"/>
  <c r="E18" i="17"/>
  <c r="G18"/>
  <c r="I18"/>
  <c r="E35" i="34"/>
  <c r="Q39" i="99"/>
  <c r="S39" s="1"/>
  <c r="Q35"/>
  <c r="S35" s="1"/>
  <c r="Q34"/>
  <c r="S34" s="1"/>
  <c r="E13"/>
  <c r="O13"/>
  <c r="K10"/>
  <c r="S10" s="1"/>
  <c r="O10"/>
  <c r="E8"/>
  <c r="S8" s="1"/>
  <c r="M45" i="154"/>
  <c r="S45" s="1"/>
  <c r="E40"/>
  <c r="S40" s="1"/>
  <c r="Q39"/>
  <c r="S39" s="1"/>
  <c r="Q36"/>
  <c r="S36" s="1"/>
  <c r="Q35"/>
  <c r="S35" s="1"/>
  <c r="S33"/>
  <c r="E32"/>
  <c r="S32" s="1"/>
  <c r="Q23"/>
  <c r="S23" s="1"/>
  <c r="Q22"/>
  <c r="S22" s="1"/>
  <c r="Q20"/>
  <c r="M20"/>
  <c r="G20"/>
  <c r="O12"/>
  <c r="K12"/>
  <c r="G12"/>
  <c r="E11"/>
  <c r="O11"/>
  <c r="Q10"/>
  <c r="S10" s="1"/>
  <c r="E23" i="14"/>
  <c r="E19"/>
  <c r="E15"/>
  <c r="E11"/>
  <c r="G25"/>
  <c r="G21"/>
  <c r="G17"/>
  <c r="G13"/>
  <c r="G9"/>
  <c r="I19"/>
  <c r="I15"/>
  <c r="I11"/>
  <c r="I26" s="1"/>
  <c r="L26"/>
  <c r="D22" i="16"/>
  <c r="G22" s="1"/>
  <c r="F25" i="145"/>
  <c r="G24" i="14"/>
  <c r="G20"/>
  <c r="G16"/>
  <c r="G12"/>
  <c r="D18" i="120"/>
  <c r="D41" s="1"/>
  <c r="E33" i="145"/>
  <c r="D19" i="120" s="1"/>
  <c r="F22" i="145"/>
  <c r="O8" i="17"/>
  <c r="B8"/>
  <c r="S29" i="154" l="1"/>
  <c r="K12" i="23"/>
  <c r="D37" i="120" s="1"/>
  <c r="S10" i="14"/>
  <c r="S16"/>
  <c r="S11"/>
  <c r="S19"/>
  <c r="S23"/>
  <c r="S15"/>
  <c r="S18"/>
  <c r="S25"/>
  <c r="S21"/>
  <c r="S13"/>
  <c r="S12"/>
  <c r="S24"/>
  <c r="S17"/>
  <c r="S9"/>
  <c r="S20"/>
  <c r="S8"/>
  <c r="G11" i="18"/>
  <c r="G15"/>
  <c r="G23" s="1"/>
  <c r="G19"/>
  <c r="C27" i="17"/>
  <c r="I27"/>
  <c r="K27"/>
  <c r="G27"/>
  <c r="E27"/>
  <c r="G14" i="135"/>
  <c r="G20"/>
  <c r="E35" i="139"/>
  <c r="J35"/>
  <c r="K35" s="1"/>
  <c r="G13" i="135"/>
  <c r="G17"/>
  <c r="G8"/>
  <c r="G26" s="1"/>
  <c r="G22"/>
  <c r="G15"/>
  <c r="G12"/>
  <c r="G9"/>
  <c r="G19"/>
  <c r="G24"/>
  <c r="G10"/>
  <c r="S12" i="154"/>
  <c r="S20"/>
  <c r="M14" i="135"/>
  <c r="M16"/>
  <c r="M18"/>
  <c r="M22"/>
  <c r="K26"/>
  <c r="H56" i="19"/>
  <c r="S14" i="14"/>
  <c r="S22"/>
  <c r="G18" i="135"/>
  <c r="G21"/>
  <c r="G25"/>
  <c r="M10" i="14"/>
  <c r="M14"/>
  <c r="M18"/>
  <c r="M22"/>
  <c r="M9"/>
  <c r="M13"/>
  <c r="M17"/>
  <c r="M21"/>
  <c r="M25"/>
  <c r="M11"/>
  <c r="M15"/>
  <c r="M19"/>
  <c r="M23"/>
  <c r="B36" i="17"/>
  <c r="E8"/>
  <c r="I8"/>
  <c r="K8"/>
  <c r="C8"/>
  <c r="G8"/>
  <c r="Q10" i="135"/>
  <c r="Q24"/>
  <c r="Q12"/>
  <c r="Q23"/>
  <c r="Q14"/>
  <c r="Q18"/>
  <c r="Q22"/>
  <c r="Q8"/>
  <c r="Q16"/>
  <c r="Q13"/>
  <c r="Q17"/>
  <c r="Q20"/>
  <c r="Q11"/>
  <c r="Q19"/>
  <c r="Q15"/>
  <c r="E26" i="14"/>
  <c r="S11" i="154"/>
  <c r="S13" i="99"/>
  <c r="M8" i="14"/>
  <c r="M16"/>
  <c r="M24"/>
  <c r="G21" i="18"/>
  <c r="E56" i="19"/>
  <c r="S26" i="14"/>
  <c r="Q9" i="135"/>
  <c r="Q25"/>
  <c r="M10"/>
  <c r="M12"/>
  <c r="O14"/>
  <c r="M15"/>
  <c r="O17"/>
  <c r="O18"/>
  <c r="O19"/>
  <c r="M20"/>
  <c r="O22"/>
  <c r="M23"/>
  <c r="G48" i="18"/>
  <c r="I26" i="135"/>
  <c r="C26"/>
  <c r="G36" i="18"/>
  <c r="D35" i="118"/>
  <c r="G26" i="14"/>
  <c r="M12"/>
  <c r="M20"/>
  <c r="O26" i="135"/>
  <c r="M9"/>
  <c r="M11"/>
  <c r="M26" s="1"/>
  <c r="M13"/>
  <c r="M21"/>
  <c r="G46" i="18"/>
  <c r="R26" i="135"/>
  <c r="S16" s="1"/>
  <c r="J35" i="118"/>
  <c r="Q26" i="135" l="1"/>
  <c r="S13"/>
  <c r="S23"/>
  <c r="S11"/>
  <c r="S12"/>
  <c r="S22"/>
  <c r="S19"/>
  <c r="S18"/>
  <c r="S17"/>
  <c r="S14"/>
  <c r="S10"/>
  <c r="S9"/>
  <c r="S25"/>
  <c r="S21"/>
  <c r="S15"/>
  <c r="S24"/>
  <c r="S20"/>
  <c r="S8"/>
  <c r="C36" i="17"/>
  <c r="K36"/>
  <c r="D30" i="120"/>
  <c r="G36" i="17"/>
  <c r="E36"/>
  <c r="I36"/>
  <c r="M26" i="14"/>
  <c r="S26" i="135" l="1"/>
</calcChain>
</file>

<file path=xl/sharedStrings.xml><?xml version="1.0" encoding="utf-8"?>
<sst xmlns="http://schemas.openxmlformats.org/spreadsheetml/2006/main" count="7917" uniqueCount="1722">
  <si>
    <t>Source: Census of India, 2011</t>
  </si>
  <si>
    <t xml:space="preserve">* As per Census Population 2011 </t>
  </si>
  <si>
    <t>Agricultural
labourers (2011)</t>
  </si>
  <si>
    <t>Census of India, 2011</t>
  </si>
  <si>
    <t>Population (2011)</t>
  </si>
  <si>
    <t>Distribution of Rural &amp; Urban Population by sex, 2011</t>
  </si>
  <si>
    <t>Distribution of Population by sex &amp; by age group, 2011</t>
  </si>
  <si>
    <t>(2011)</t>
  </si>
  <si>
    <t>2) Census of India, 2001 &amp; 2011</t>
  </si>
  <si>
    <t>TABLE 4.5</t>
  </si>
  <si>
    <t>District Total 2011</t>
  </si>
  <si>
    <t>N.B.: Literacy relates to  population aged 7 years and above</t>
  </si>
  <si>
    <t>Current Financial Year</t>
  </si>
  <si>
    <t xml:space="preserve">Census Year </t>
  </si>
  <si>
    <t>Nil or negligible</t>
  </si>
  <si>
    <t>Not available</t>
  </si>
  <si>
    <t>Provisional</t>
  </si>
  <si>
    <t>Revised</t>
  </si>
  <si>
    <t>Incomplete</t>
  </si>
  <si>
    <t>Estimated</t>
  </si>
  <si>
    <t>Percentage</t>
  </si>
  <si>
    <t>Area irrigated by</t>
  </si>
  <si>
    <t>TABLE 2.1(b)</t>
  </si>
  <si>
    <t>4.4</t>
  </si>
  <si>
    <t>4.5</t>
  </si>
  <si>
    <t>4.6</t>
  </si>
  <si>
    <t>4.7</t>
  </si>
  <si>
    <t>4.8</t>
  </si>
  <si>
    <t>5.1(a)</t>
  </si>
  <si>
    <t>5.1(b)</t>
  </si>
  <si>
    <t>GENERAL RECOGNIZED SCHOOLS</t>
  </si>
  <si>
    <t>GENERAL DEGREE COLLEGES</t>
  </si>
  <si>
    <t>5.3(a)</t>
  </si>
  <si>
    <t>(Degree Celsius)</t>
  </si>
  <si>
    <t>GENERAL UNIVERSITIES
 (excluding completely Technical Universities)</t>
  </si>
  <si>
    <t>GENERAL UNIVERSITIES 
(excluding completely Technical Universities)</t>
  </si>
  <si>
    <t>Mandays
 employed
 (in thousand)</t>
  </si>
  <si>
    <t>Source : Census of India</t>
  </si>
  <si>
    <t>(Number in thousand)</t>
  </si>
  <si>
    <t xml:space="preserve">           P.C. = Percentage to respective total population</t>
  </si>
  <si>
    <t>Km.</t>
  </si>
  <si>
    <t>(f) Institute of Radiology / Pathology / Bio-Chemistry / Laboratory Technology / Radiography / Physiotherapy / Radiotherapy / ECG</t>
  </si>
  <si>
    <t>5.3(b)</t>
  </si>
  <si>
    <t>5.3(c)</t>
  </si>
  <si>
    <t>5.3(d)</t>
  </si>
  <si>
    <t>5.3(e)</t>
  </si>
  <si>
    <t>5.5(a)</t>
  </si>
  <si>
    <t>8.2(a)</t>
  </si>
  <si>
    <t>9.2(a)</t>
  </si>
  <si>
    <t>9.2(b)</t>
  </si>
  <si>
    <t>12.</t>
  </si>
  <si>
    <t>13.</t>
  </si>
  <si>
    <t>14.</t>
  </si>
  <si>
    <t>15.</t>
  </si>
  <si>
    <t>16.</t>
  </si>
  <si>
    <t>17.</t>
  </si>
  <si>
    <t>18.</t>
  </si>
  <si>
    <t>19.</t>
  </si>
  <si>
    <t>20.</t>
  </si>
  <si>
    <t>21.</t>
  </si>
  <si>
    <t>22.</t>
  </si>
  <si>
    <t>Source : Agricultural Income Tax Officer, Bankura</t>
  </si>
  <si>
    <t xml:space="preserve">Indpur   </t>
  </si>
  <si>
    <t xml:space="preserve">Hirbandh </t>
  </si>
  <si>
    <t>11.1(a)</t>
  </si>
  <si>
    <t xml:space="preserve">  </t>
  </si>
  <si>
    <t>Upto the year 
(as on 31st March)</t>
  </si>
  <si>
    <t>Mulberry 
(MT)</t>
  </si>
  <si>
    <t>TABLE 2.10(a)</t>
  </si>
  <si>
    <t>Hindu</t>
  </si>
  <si>
    <t>Muslim</t>
  </si>
  <si>
    <t>Christian</t>
  </si>
  <si>
    <t>Sikh</t>
  </si>
  <si>
    <t>Buddhist</t>
  </si>
  <si>
    <t>Jain</t>
  </si>
  <si>
    <t>Total Population</t>
  </si>
  <si>
    <t>Permanent
 pastures &amp; other
 grazing land</t>
  </si>
  <si>
    <t>Barren &amp; 
unculturable
 land</t>
  </si>
  <si>
    <t>Agri-
cultural</t>
  </si>
  <si>
    <t>Tractor &amp; Trailer</t>
  </si>
  <si>
    <t>Average
 size of 
holdings
 (hect.)</t>
  </si>
  <si>
    <t>Area of
 holdings</t>
  </si>
  <si>
    <t>Area of
holdings</t>
  </si>
  <si>
    <t>Area of 
holdings</t>
  </si>
  <si>
    <t>Area under
 Non-agricultural
 use</t>
  </si>
  <si>
    <t>Culturable
 waste land</t>
  </si>
  <si>
    <t>Current
 fallow</t>
  </si>
  <si>
    <t>Net area
 sown</t>
  </si>
  <si>
    <t>Name of Municipality</t>
  </si>
  <si>
    <t>P.C to
 total
 Popu-
lation
 of the
 Block</t>
  </si>
  <si>
    <t>2) Fish Farmers' Development Agency (F.F.D.A.), Bankura</t>
  </si>
  <si>
    <t>Students by sex in different type of General Educational Institutions</t>
  </si>
  <si>
    <t>Students by sex in different type of Professional &amp; Technical Educational Institutions</t>
  </si>
  <si>
    <t>Others
 (CC+OP+
MTP etc.)</t>
  </si>
  <si>
    <t>Veterinary
 personnel</t>
  </si>
  <si>
    <t>Note :  SAHC  -  State Animal Health Centre</t>
  </si>
  <si>
    <t xml:space="preserve">             MAHC  - Mobile Animal Health Centre</t>
  </si>
  <si>
    <t xml:space="preserve">Agricultural 
irrigation &amp;
 dewatering    </t>
  </si>
  <si>
    <t>Public Water 
  Works &amp;
 Sewerage
 Pump</t>
  </si>
  <si>
    <t>Values 
of Input
 (Rs. in
 Lakh)</t>
  </si>
  <si>
    <t>Values 
of Output
(Rs. in
 Lakh)</t>
  </si>
  <si>
    <t>Net value
 added 
(Rs. in
 Lakh)</t>
  </si>
  <si>
    <t>Net
 income
(Rs. in 
Lakh)</t>
  </si>
  <si>
    <t>Area
(Sq. Km.)
(2001)</t>
  </si>
  <si>
    <t>Average No. of
 Workers employed
 per day</t>
  </si>
  <si>
    <t>Students by sex in different type of Special &amp; Non-formal Educational Institutions</t>
  </si>
  <si>
    <t>Teachers in different type of General Educational Institutions</t>
  </si>
  <si>
    <t>Number of Establishments in rural and urban areas</t>
  </si>
  <si>
    <t xml:space="preserve">            ABAHC  - Additional Block Animal Health Centre</t>
  </si>
  <si>
    <t xml:space="preserve">            AIC  -       Artificial Insemination Centre </t>
  </si>
  <si>
    <t xml:space="preserve">            DVH -      District Veterinary Hospital</t>
  </si>
  <si>
    <t xml:space="preserve">            BAHC  -   Block Animal Health Centre</t>
  </si>
  <si>
    <t xml:space="preserve">            ADAC  -   Animal Development Aid Centre</t>
  </si>
  <si>
    <t>Health &amp; Family Welfare Deptt., Govt. of W.B.</t>
  </si>
  <si>
    <t>Un-
surfaced</t>
  </si>
  <si>
    <t>Name of 
Flowers</t>
  </si>
  <si>
    <t>Teachers in different type of Special &amp; Non-formal Educational Institutions</t>
  </si>
  <si>
    <t>NIC ' 08 Code</t>
  </si>
  <si>
    <t>Cinema Houses</t>
  </si>
  <si>
    <t>Newspapers and Periodicals published</t>
  </si>
  <si>
    <t>15574 (P)</t>
  </si>
  <si>
    <t>TABLE 7.3</t>
  </si>
  <si>
    <t>' 000 MT</t>
  </si>
  <si>
    <t>Normal</t>
  </si>
  <si>
    <t xml:space="preserve">Teachers in different type of Professional &amp; Technical Educational Institutions </t>
  </si>
  <si>
    <t>Micro &amp; Small Scale Enterprises with corresponding Employment</t>
  </si>
  <si>
    <t xml:space="preserve">Consumption of Electricity by different sectors </t>
  </si>
  <si>
    <t>Production in Sericulture Industry</t>
  </si>
  <si>
    <t>Employment in Registered Factories &amp; State Government Offices</t>
  </si>
  <si>
    <t xml:space="preserve">Registration and Placement effected by Employment Exchanges </t>
  </si>
  <si>
    <t>Number of Seats in Municipal Corporations, Municipalities and Panchayats</t>
  </si>
  <si>
    <t>Maximum and Minimum Temperature by month</t>
  </si>
  <si>
    <t>Administrative Units</t>
  </si>
  <si>
    <t>Growth of Population by sex</t>
  </si>
  <si>
    <t>Distribution of Population by sex &amp; by age group, 2001</t>
  </si>
  <si>
    <t>Distribution of Population over different categories of workers and non-workers by sex</t>
  </si>
  <si>
    <t>Disabled Persons by type of disability &amp; by sex</t>
  </si>
  <si>
    <t>Medical Facilities</t>
  </si>
  <si>
    <t>Area under Principal Crops</t>
  </si>
  <si>
    <t>Production of Principal Crops</t>
  </si>
  <si>
    <t xml:space="preserve">26.36* </t>
  </si>
  <si>
    <t>Sum assured 
(Rs. in Crore)</t>
  </si>
  <si>
    <t>Mula(Radish)</t>
  </si>
  <si>
    <t>Yield rates of Principal Crops</t>
  </si>
  <si>
    <t>Yield rates of some Selected Crops</t>
  </si>
  <si>
    <t>Area Irrigated by different sources</t>
  </si>
  <si>
    <t>Sources of Irrigation</t>
  </si>
  <si>
    <t xml:space="preserve">Fertilizer Consumed  </t>
  </si>
  <si>
    <t xml:space="preserve">Warehousing and Cold Storage Facilities </t>
  </si>
  <si>
    <t>Estimated Production of Milk and Egg</t>
  </si>
  <si>
    <t>Progress of Co-operative Movement</t>
  </si>
  <si>
    <t>Mouzas Electrified</t>
  </si>
  <si>
    <t>2012-13</t>
  </si>
  <si>
    <t>1868(I)</t>
  </si>
  <si>
    <t>19*</t>
  </si>
  <si>
    <t>18*</t>
  </si>
  <si>
    <t>Distribution of Rural &amp; Urban Population by sex, 2001</t>
  </si>
  <si>
    <t>Area, Population and Density of Population</t>
  </si>
  <si>
    <t>Live-stock and Poultry</t>
  </si>
  <si>
    <t>Selected Characteristics of Factories by industry group</t>
  </si>
  <si>
    <t>Distribution of Population over different categories of workers and non-workers</t>
  </si>
  <si>
    <t>Population, Receipt and Expenditure of Municipalities</t>
  </si>
  <si>
    <t>Number of Persons usually working in rural and urban Establishments</t>
  </si>
  <si>
    <t>Applicants on the Live-register of Employment Exchanges</t>
  </si>
  <si>
    <t>Percentage of Hired Workers &amp; Females employed in Non-agricultural Establishments</t>
  </si>
  <si>
    <t>Wholesale Prices of Agricultural Commodities, Live-stock &amp; Live-stock Products</t>
  </si>
  <si>
    <t>Regulated Market by category</t>
  </si>
  <si>
    <t>Consumer Price Index Numbers for Families of all Expenditure Groups Combined</t>
  </si>
  <si>
    <t>Consumer Price Index Numbers for Industrial Workers</t>
  </si>
  <si>
    <t>Length of different classes of Roads maintained by P.W.D.</t>
  </si>
  <si>
    <t>Accidents on Roads</t>
  </si>
  <si>
    <t>Offences reported, Cases tried, Persons convicted and acquitted</t>
  </si>
  <si>
    <t xml:space="preserve">Net Collection from Small Savings </t>
  </si>
  <si>
    <t>Some Basic Statistics about the Blocks</t>
  </si>
  <si>
    <t>Registered Motor Vehicles</t>
  </si>
  <si>
    <t>Persons Engaged in Agriculture in the Blocks</t>
  </si>
  <si>
    <t>Particulars of Fisheries in the Blocks</t>
  </si>
  <si>
    <t>Length of Roads maintained by different agencies in the Blocks</t>
  </si>
  <si>
    <t>Transport Facilities in the Blocks</t>
  </si>
  <si>
    <t>Divisional Forest Officer, Panchet Soil
Conservation, Bishnupur, Bankura</t>
  </si>
  <si>
    <t>Matar Dal</t>
  </si>
  <si>
    <t>Musur Dal (Small)</t>
  </si>
  <si>
    <t>Tamarind (without Seed)</t>
  </si>
  <si>
    <t>Tamarind (with Seed)</t>
  </si>
  <si>
    <t>Post
 Office</t>
  </si>
  <si>
    <t>Telegraph
 Office</t>
  </si>
  <si>
    <t>Micro &amp; Small Scale Enterprises</t>
  </si>
  <si>
    <r>
      <t>8629</t>
    </r>
    <r>
      <rPr>
        <vertAlign val="superscript"/>
        <sz val="10"/>
        <rFont val="Arial"/>
        <family val="2"/>
      </rPr>
      <t>#</t>
    </r>
  </si>
  <si>
    <r>
      <t>81112</t>
    </r>
    <r>
      <rPr>
        <vertAlign val="superscript"/>
        <sz val="10"/>
        <rFont val="Arial"/>
        <family val="2"/>
      </rPr>
      <t>#</t>
    </r>
  </si>
  <si>
    <t>Combined
 Office</t>
  </si>
  <si>
    <t>Administrative Set-up :</t>
  </si>
  <si>
    <t>Medical Facilities :</t>
  </si>
  <si>
    <t>(a) General Stream (Including independent H.S. School)</t>
  </si>
  <si>
    <t>(b) Vocational Stream (Including independent H.S. School)</t>
  </si>
  <si>
    <t>All other Commercial &amp; Vocational Institutions (Affiliated to W.B. State Council of Technical Education)</t>
  </si>
  <si>
    <t>Reformatory or certified Institutions or Welfare Homes under Social Welfare Deptt. for the Juveniles or destitute children or the children of  red-light areas</t>
  </si>
  <si>
    <t>9) Heads of Ekalabya Schools</t>
  </si>
  <si>
    <t>All other Commercial &amp; Vocational Institutions 
(Affiliated to W.B. State Council of Technical Education)</t>
  </si>
  <si>
    <t>* Including Part-time Teachers</t>
  </si>
  <si>
    <t>100*</t>
  </si>
  <si>
    <t>Others
(Santali)</t>
  </si>
  <si>
    <t>Land under misc. tree-
 groves not included
 in Net area sown</t>
  </si>
  <si>
    <t>Fallow land 
other than 
Current fallow</t>
  </si>
  <si>
    <t>No. of
 holdings</t>
  </si>
  <si>
    <t>Crore 
Cut Flower</t>
  </si>
  <si>
    <t>Govt. Canal</t>
  </si>
  <si>
    <t>2) Asstt. Engineers, (Agri.Mech.) &amp; (Agri.Irri.), Bankura</t>
  </si>
  <si>
    <t>1) Asstt. Engineer, Agri. Mech., Bankura</t>
  </si>
  <si>
    <t>2) Asstt. Engineer, Agri. Irrigation, Bankura</t>
  </si>
  <si>
    <t>Source : Directorate of Agriculture, Govt. of  W.B.</t>
  </si>
  <si>
    <t>No. of Cultivators benefitted</t>
  </si>
  <si>
    <t xml:space="preserve"> Source : Live-stock Census Report, Govt.of W.B.</t>
  </si>
  <si>
    <t>Type of
 Society / 
Year</t>
  </si>
  <si>
    <t>Working 
capital 
(Rs. in 
thousand)</t>
  </si>
  <si>
    <t>Loans due from individuals &amp; other societies
(Rs. in thousand)</t>
  </si>
  <si>
    <t>Source : Asstt. Registrar of Co-operative Societies, Bankura</t>
  </si>
  <si>
    <t>No. of
offices</t>
  </si>
  <si>
    <t>Deposits
(Rs. in Crore)</t>
  </si>
  <si>
    <t>Advances
(Rs. in Crore)</t>
  </si>
  <si>
    <t>P.C. of advances to deposits</t>
  </si>
  <si>
    <t>No. of
 policies</t>
  </si>
  <si>
    <t>No. of persons taken loan</t>
  </si>
  <si>
    <r>
      <t>#</t>
    </r>
    <r>
      <rPr>
        <sz val="9"/>
        <rFont val="Arial"/>
        <family val="2"/>
      </rPr>
      <t xml:space="preserve"> House building loan</t>
    </r>
  </si>
  <si>
    <t>Source : Divisional Engineer, Bankura Construction Divn. (W.B.S.E.D.C.L.)</t>
  </si>
  <si>
    <t>1) Divisional Engineer, W.B.S.E.D.C.L.( O &amp; M ) Division</t>
  </si>
  <si>
    <t>2) Circle Manager, Bankura (D) Circle, W.B.S.E.D.C.L.</t>
  </si>
  <si>
    <t>Miscellaneous</t>
  </si>
  <si>
    <t>No. of
 Employees</t>
  </si>
  <si>
    <t>No. of
 factories</t>
  </si>
  <si>
    <t>Manufacture of machinery and equipment n. e. c.*</t>
  </si>
  <si>
    <t>* n.e.c. = not elsewhere classified</t>
  </si>
  <si>
    <t>Tasar 
(Thousand
 kahan)</t>
  </si>
  <si>
    <t>Eri 
(Thousand 
kahan)</t>
  </si>
  <si>
    <t>Muga
 (Thousand
 kahan)</t>
  </si>
  <si>
    <t>N.B.: 1 Ganda = 4 No., 1 Pon = 20 Ganda = 80 No., 
        1 Kahan = 16 Pon = 320 Ganda = 1280 No.</t>
  </si>
  <si>
    <t>N.B. : Factories are defunct since 1995-96</t>
  </si>
  <si>
    <t>Skilled &amp; Semi-skilled</t>
  </si>
  <si>
    <t>Unskilled</t>
  </si>
  <si>
    <t>Note : Under the schemes NOAPS
          (National Old Age Pension 
          Scheme), NFBS (National
          Family Benefit Scheme) etc.</t>
  </si>
  <si>
    <t>Asstt. Director of Fisheries, Bankura</t>
  </si>
  <si>
    <t>Dist. Social Welfare Officer, Bankura</t>
  </si>
  <si>
    <t>Urid (Deshi) Dal</t>
  </si>
  <si>
    <t>65*</t>
  </si>
  <si>
    <t>70*</t>
  </si>
  <si>
    <t>Fish ( G.Carp / S.Carp )</t>
  </si>
  <si>
    <t>Mustard Oil</t>
  </si>
  <si>
    <t>Mustard Cake</t>
  </si>
  <si>
    <t>Chhana ( Un-skimmed )</t>
  </si>
  <si>
    <t>Sub-market Yard</t>
  </si>
  <si>
    <t>All Groups Combined Index</t>
  </si>
  <si>
    <t>1) P.W.D.(Roads), Govt. of  W.B.</t>
  </si>
  <si>
    <t>3) All Panchayat Samity, Bankura</t>
  </si>
  <si>
    <t>4) All Gram Panchayat, Bankura</t>
  </si>
  <si>
    <t>Source : P.W.D.(Roads), Govt. of  W.B.</t>
  </si>
  <si>
    <t>DTW</t>
  </si>
  <si>
    <t>Sl.No.</t>
  </si>
  <si>
    <t>Total 
Earning               
 (' 000 Rs.)</t>
  </si>
  <si>
    <t>No. of 
Tourists
 Carried</t>
  </si>
  <si>
    <t>Dy. Director, Animal Resources and
Dev. Parishad Office, Bankura</t>
  </si>
  <si>
    <t xml:space="preserve">    Procurement and Supply, Govt. of W.B.</t>
  </si>
  <si>
    <t>Source of Irrigation and Area Irrigated by different sources in the Blocks</t>
  </si>
  <si>
    <t xml:space="preserve">Co-operative Societies in the Blocks </t>
  </si>
  <si>
    <t>Area &amp; Production of Flowers</t>
  </si>
  <si>
    <t>Progress of Commercial Banking</t>
  </si>
  <si>
    <t>Consumption of Electricity</t>
  </si>
  <si>
    <t>Progress in Tourism</t>
  </si>
  <si>
    <t>Police Stations and Out-posts</t>
  </si>
  <si>
    <t>Receipt and Expenditure of Zilla Parishad</t>
  </si>
  <si>
    <t>Population by religion in the Blocks</t>
  </si>
  <si>
    <t>2010-11</t>
  </si>
  <si>
    <t>Commercial and Gramin Banks in the Blocks</t>
  </si>
  <si>
    <t>C.D.Block/M</t>
  </si>
  <si>
    <t>Sub-Division / C.D.Block / M</t>
  </si>
  <si>
    <t>Khatra Sub-Div.</t>
  </si>
  <si>
    <t>Primary School</t>
  </si>
  <si>
    <t>Middle School</t>
  </si>
  <si>
    <t>High School</t>
  </si>
  <si>
    <t>226(P)</t>
  </si>
  <si>
    <t>11126(P)</t>
  </si>
  <si>
    <t>Higher Secondary School</t>
  </si>
  <si>
    <t>(Area in thousand hectares)</t>
  </si>
  <si>
    <t>(b) High Madrasahs</t>
  </si>
  <si>
    <t>(b) Junior Madrasahs</t>
  </si>
  <si>
    <t>1.0 hectare and above but less than 2.0 hectares</t>
  </si>
  <si>
    <t>2.0 hectares and above but less than 4.0 hectares</t>
  </si>
  <si>
    <t>4.0 hectares and above but less than 10.0 hectares</t>
  </si>
  <si>
    <t>Fibres :</t>
  </si>
  <si>
    <t>Sub-Division / C.D.Block / M.</t>
  </si>
  <si>
    <t>4.1(a)</t>
  </si>
  <si>
    <t>4.1(c)</t>
  </si>
  <si>
    <t>4.2(a)</t>
  </si>
  <si>
    <t>4.2(b)</t>
  </si>
  <si>
    <t>4.2(c)</t>
  </si>
  <si>
    <t>4.3(a)</t>
  </si>
  <si>
    <t>4.3(b)</t>
  </si>
  <si>
    <t>4.3(c)</t>
  </si>
  <si>
    <t>4.1(b)</t>
  </si>
  <si>
    <t>Cereals</t>
  </si>
  <si>
    <t>Productivity</t>
  </si>
  <si>
    <t xml:space="preserve">Description </t>
  </si>
  <si>
    <t>* Figure represents no. of Adult Education Centre under Sakshar Bharat</t>
  </si>
  <si>
    <t>53.18**</t>
  </si>
  <si>
    <t>29887**</t>
  </si>
  <si>
    <t>** Including Private</t>
  </si>
  <si>
    <t>Year</t>
  </si>
  <si>
    <t>Unit</t>
  </si>
  <si>
    <t xml:space="preserve"> Particulars</t>
  </si>
  <si>
    <t>Upto September 2006</t>
  </si>
  <si>
    <t>Number</t>
  </si>
  <si>
    <t>Inhabited Villages</t>
  </si>
  <si>
    <t>01.10.1964</t>
  </si>
  <si>
    <t>*</t>
  </si>
  <si>
    <t>Bankura (M)</t>
  </si>
  <si>
    <t>Municipal Corporation</t>
  </si>
  <si>
    <t xml:space="preserve">Vasectomy </t>
  </si>
  <si>
    <t xml:space="preserve">Tubectomy </t>
  </si>
  <si>
    <t>I.U.D.</t>
  </si>
  <si>
    <t>Municipality</t>
  </si>
  <si>
    <t>Gram Panchayat</t>
  </si>
  <si>
    <t>Gram Sansad</t>
  </si>
  <si>
    <t>Area and Population :</t>
  </si>
  <si>
    <t xml:space="preserve">Area </t>
  </si>
  <si>
    <t>Population</t>
  </si>
  <si>
    <t>"</t>
  </si>
  <si>
    <t xml:space="preserve">                    Female</t>
  </si>
  <si>
    <t xml:space="preserve">                    Rural</t>
  </si>
  <si>
    <t xml:space="preserve">                    Urban</t>
  </si>
  <si>
    <t>7) Head of each centre of Rabindra Mukta Vidyalaya</t>
  </si>
  <si>
    <t xml:space="preserve">Khatra      </t>
  </si>
  <si>
    <t>m.m.</t>
  </si>
  <si>
    <t>Temperature : Maximum</t>
  </si>
  <si>
    <t>Degree Celsius</t>
  </si>
  <si>
    <t>Workers :</t>
  </si>
  <si>
    <t>Total workers</t>
  </si>
  <si>
    <t>Non-workers</t>
  </si>
  <si>
    <t>4) Each Anglo Indian, I.C.S.E., C.B.S.E. &amp; Railway Institution</t>
  </si>
  <si>
    <t>3) Education cell under each Municipality / Local Body</t>
  </si>
  <si>
    <t>Agriculture and Irrigation:</t>
  </si>
  <si>
    <t>Cropped area</t>
  </si>
  <si>
    <t>Total beds</t>
  </si>
  <si>
    <t>43*</t>
  </si>
  <si>
    <t>General College</t>
  </si>
  <si>
    <t>Fixed
 Capital
(Rs. in Lakh)</t>
  </si>
  <si>
    <t>Invested
 Capital
(Rs. in Lakh)</t>
  </si>
  <si>
    <t>Emolu-
ments
(Rs. in Lakh)</t>
  </si>
  <si>
    <t>DISTRICT STATISTICAL HANDBOOK</t>
  </si>
  <si>
    <t>Industry:</t>
  </si>
  <si>
    <t>Taldangra</t>
  </si>
  <si>
    <t>Simplapal</t>
  </si>
  <si>
    <t>Raipur</t>
  </si>
  <si>
    <t>Bishnupur</t>
  </si>
  <si>
    <t>Joypur</t>
  </si>
  <si>
    <t>Kotulpur</t>
  </si>
  <si>
    <t>Sonamukhi</t>
  </si>
  <si>
    <t>Patrasayer</t>
  </si>
  <si>
    <t>Indus</t>
  </si>
  <si>
    <t>Bishnupur(M)</t>
  </si>
  <si>
    <t>Professional &amp; Technical School,College &amp; University</t>
  </si>
  <si>
    <t>Source : R.T.A., Bankura</t>
  </si>
  <si>
    <t>2) Zilla Parishad, Bankura</t>
  </si>
  <si>
    <t>Source : Manager of respective Tourist Lodges, Bankura</t>
  </si>
  <si>
    <t>* Figures of Bankura -II, Hirbandh and Sarenga for 1991 have been included with Bankura -I, Khatra and Raipur respectively</t>
  </si>
  <si>
    <t>Sonamukhi(M)</t>
  </si>
  <si>
    <t>8/1</t>
  </si>
  <si>
    <t>Sadar Sub- Division</t>
  </si>
  <si>
    <t>Bankura(M)</t>
  </si>
  <si>
    <t>Khatra Sub-Division</t>
  </si>
  <si>
    <t>Director</t>
  </si>
  <si>
    <t>Hirbandh</t>
  </si>
  <si>
    <t>Simlapal</t>
  </si>
  <si>
    <t>Sarenga</t>
  </si>
  <si>
    <t>Bishnupur Sub-Division</t>
  </si>
  <si>
    <t>Bishnupur Sub-Div.</t>
  </si>
  <si>
    <t>Employment in:</t>
  </si>
  <si>
    <t>( 7)</t>
  </si>
  <si>
    <t>Electricity :</t>
  </si>
  <si>
    <t>Co-operative Societies :</t>
  </si>
  <si>
    <t>Societies</t>
  </si>
  <si>
    <t>Members</t>
  </si>
  <si>
    <t>Working Capital</t>
  </si>
  <si>
    <t xml:space="preserve">     Total</t>
  </si>
  <si>
    <t xml:space="preserve">       Urban</t>
  </si>
  <si>
    <t>Hospitals</t>
  </si>
  <si>
    <t>Working Capital 
(' 000 Rs.)</t>
  </si>
  <si>
    <t>Institution</t>
  </si>
  <si>
    <t>Student</t>
  </si>
  <si>
    <t>Teacher</t>
  </si>
  <si>
    <t>Central Bank :-</t>
  </si>
  <si>
    <t>All Credit Societies (1 + 2 + 3 + 4) :-</t>
  </si>
  <si>
    <t>Total of All Credit &amp; Non-Credit Societies (5 + 6) :-</t>
  </si>
  <si>
    <t>Year 
(as on the last Friday of June)</t>
  </si>
  <si>
    <t>Receipt</t>
  </si>
  <si>
    <t>Source : Census of India,1981 &amp; 1991</t>
  </si>
  <si>
    <t>Cattles</t>
  </si>
  <si>
    <t>Source : Meteorological Department, Govt. of India</t>
  </si>
  <si>
    <t>Commercial Bank</t>
  </si>
  <si>
    <t>Transport &amp; Communication:</t>
  </si>
  <si>
    <t>Post Offices</t>
  </si>
  <si>
    <t>Total 
No.
of
 Beds</t>
  </si>
  <si>
    <t>Total 
No.
of 
Beds</t>
  </si>
  <si>
    <t xml:space="preserve">Warehouses </t>
  </si>
  <si>
    <t>6*</t>
  </si>
  <si>
    <t>1445*</t>
  </si>
  <si>
    <t>Base :1982 =100</t>
  </si>
  <si>
    <t>Post &amp; Telegraph Offices(Combined)</t>
  </si>
  <si>
    <t>Surfaced</t>
  </si>
  <si>
    <t>Mental Illness</t>
  </si>
  <si>
    <t>Mental Retardation</t>
  </si>
  <si>
    <t>Other Disability</t>
  </si>
  <si>
    <t>Multiple Disability</t>
  </si>
  <si>
    <t>Un-surfaced</t>
  </si>
  <si>
    <t>Finance :</t>
  </si>
  <si>
    <t>Latitude</t>
  </si>
  <si>
    <t>Longitude</t>
  </si>
  <si>
    <t xml:space="preserve"> North</t>
  </si>
  <si>
    <t>South</t>
  </si>
  <si>
    <t xml:space="preserve"> East  </t>
  </si>
  <si>
    <t>West</t>
  </si>
  <si>
    <t>(1)</t>
  </si>
  <si>
    <t>(2)</t>
  </si>
  <si>
    <t>(3)</t>
  </si>
  <si>
    <t>(4)</t>
  </si>
  <si>
    <t>(5)</t>
  </si>
  <si>
    <t>(6)</t>
  </si>
  <si>
    <t>(7)</t>
  </si>
  <si>
    <t>Month</t>
  </si>
  <si>
    <t>Actual</t>
  </si>
  <si>
    <t>January</t>
  </si>
  <si>
    <t>February</t>
  </si>
  <si>
    <t>March</t>
  </si>
  <si>
    <t>April</t>
  </si>
  <si>
    <t>May</t>
  </si>
  <si>
    <t>June</t>
  </si>
  <si>
    <t>July</t>
  </si>
  <si>
    <t>August</t>
  </si>
  <si>
    <t>September</t>
  </si>
  <si>
    <t>October</t>
  </si>
  <si>
    <t>November</t>
  </si>
  <si>
    <t>December</t>
  </si>
  <si>
    <t>Total</t>
  </si>
  <si>
    <t>(8)</t>
  </si>
  <si>
    <t>(9)</t>
  </si>
  <si>
    <t>(10)</t>
  </si>
  <si>
    <t>(11)</t>
  </si>
  <si>
    <t xml:space="preserve">     (Degree Celsius)</t>
  </si>
  <si>
    <t>Mean</t>
  </si>
  <si>
    <t>For the year</t>
  </si>
  <si>
    <t>Sub-Division</t>
  </si>
  <si>
    <t>Panchayat</t>
  </si>
  <si>
    <t>Samity</t>
  </si>
  <si>
    <t>Gram</t>
  </si>
  <si>
    <t>(2001)</t>
  </si>
  <si>
    <t>(Number)</t>
  </si>
  <si>
    <t>Town</t>
  </si>
  <si>
    <t>No.</t>
  </si>
  <si>
    <t>Ward</t>
  </si>
  <si>
    <t>Notified Area</t>
  </si>
  <si>
    <t>Census Town</t>
  </si>
  <si>
    <t>10</t>
  </si>
  <si>
    <t>12</t>
  </si>
  <si>
    <t>13</t>
  </si>
  <si>
    <t>16</t>
  </si>
  <si>
    <t>17</t>
  </si>
  <si>
    <t>20</t>
  </si>
  <si>
    <t>22</t>
  </si>
  <si>
    <t>23</t>
  </si>
  <si>
    <t>24</t>
  </si>
  <si>
    <t>25</t>
  </si>
  <si>
    <t>28</t>
  </si>
  <si>
    <t>31</t>
  </si>
  <si>
    <t>52</t>
  </si>
  <si>
    <t>Hospitals, Health Centres etc.</t>
  </si>
  <si>
    <t>Outgrowth</t>
  </si>
  <si>
    <t>Constituency</t>
  </si>
  <si>
    <t>Assembly</t>
  </si>
  <si>
    <t>Parliamentary</t>
  </si>
  <si>
    <t>(Millimetre)</t>
  </si>
  <si>
    <t>Per thousand</t>
  </si>
  <si>
    <t>Per hundred</t>
  </si>
  <si>
    <t xml:space="preserve">Indus          </t>
  </si>
  <si>
    <t>(Contd.)</t>
  </si>
  <si>
    <t>Source : Collectorate (Election Deptt.), Bankura</t>
  </si>
  <si>
    <t xml:space="preserve">Sub-Division / 
C.D.Block / M </t>
  </si>
  <si>
    <t>TABLE 2.10(a) (Concld.)</t>
  </si>
  <si>
    <t>TABLE 3.1 (Concld.)</t>
  </si>
  <si>
    <t>Other Colleges / Institutions</t>
  </si>
  <si>
    <t>Note : Marginal :</t>
  </si>
  <si>
    <t>Sources : 1)</t>
  </si>
  <si>
    <t>2)</t>
  </si>
  <si>
    <t xml:space="preserve">Bureau of Applied Economics &amp; Statistics, </t>
  </si>
  <si>
    <t>Profes-
sional 
Tax</t>
  </si>
  <si>
    <t>Agri.
 Income
 Tax</t>
  </si>
  <si>
    <t>Other
 Taxes</t>
  </si>
  <si>
    <t>30.11.2012</t>
  </si>
  <si>
    <t>Sl.
No.</t>
  </si>
  <si>
    <t>Name
 of
 Block</t>
  </si>
  <si>
    <t>Source : Divisional Office, L.I.C. of India, Asansol</t>
  </si>
  <si>
    <t>3)</t>
  </si>
  <si>
    <t>4)</t>
  </si>
  <si>
    <t>Literacy Rate by sex in rural and urban areas</t>
  </si>
  <si>
    <t>University(Gen. &amp; Tech.)</t>
  </si>
  <si>
    <t>Total Revenue Receipt</t>
  </si>
  <si>
    <t>Max</t>
  </si>
  <si>
    <t>Min</t>
  </si>
  <si>
    <t>Visual</t>
  </si>
  <si>
    <t>Speech</t>
  </si>
  <si>
    <t>Hearing</t>
  </si>
  <si>
    <t>Locomotor</t>
  </si>
  <si>
    <t>Population served per Bank office 
(Commercial &amp; Gramin)* 
(No.in ' 000)</t>
  </si>
  <si>
    <t>* As per Census 2011 Population</t>
  </si>
  <si>
    <t>(Per cent)</t>
  </si>
  <si>
    <t>Chief Inspector of Factories,Govt.of  West Bengal</t>
  </si>
  <si>
    <t>B.A.E.&amp; S.,Govt.of  West Bengal</t>
  </si>
  <si>
    <t>Directorate of Micro &amp;Small Scale Enterprises,</t>
  </si>
  <si>
    <t>Bankura &amp; 
Bankura Women P.S.</t>
  </si>
  <si>
    <t xml:space="preserve">Hirbandh      </t>
  </si>
  <si>
    <t>* The decline in length of road is due to transfer
  of authority of maintenance to other agencies.</t>
  </si>
  <si>
    <t>** From October,06 to March,07</t>
  </si>
  <si>
    <t>TABLE 11.1 (Contd.)</t>
  </si>
  <si>
    <t>Centre : Purulia</t>
  </si>
  <si>
    <t xml:space="preserve">Sources :              </t>
  </si>
  <si>
    <t>TABLE 13.1 (Concld.)</t>
  </si>
  <si>
    <t>Source : Superintendent of Police, Bankura</t>
  </si>
  <si>
    <t xml:space="preserve"> 2)</t>
  </si>
  <si>
    <t>TABLE 18.1 (Contd.)</t>
  </si>
  <si>
    <t>1) Principal Agriculture Officer, Bankura</t>
  </si>
  <si>
    <t xml:space="preserve">Source : </t>
  </si>
  <si>
    <t xml:space="preserve">Rural </t>
  </si>
  <si>
    <t xml:space="preserve">Urban </t>
  </si>
  <si>
    <t>Source : Census of India, 1991 &amp; 2001</t>
  </si>
  <si>
    <t>Index with 1901 as base</t>
  </si>
  <si>
    <t>Male</t>
  </si>
  <si>
    <t>Female</t>
  </si>
  <si>
    <t>Urban</t>
  </si>
  <si>
    <t>Rural</t>
  </si>
  <si>
    <t>Age group (Years)</t>
  </si>
  <si>
    <t>P.C.</t>
  </si>
  <si>
    <t>(12)</t>
  </si>
  <si>
    <t>(13)</t>
  </si>
  <si>
    <t>(14)</t>
  </si>
  <si>
    <t>(15)</t>
  </si>
  <si>
    <r>
      <t>N.B.</t>
    </r>
    <r>
      <rPr>
        <b/>
        <sz val="9"/>
        <color indexed="20"/>
        <rFont val="Arial"/>
        <family val="2"/>
      </rPr>
      <t>:</t>
    </r>
    <r>
      <rPr>
        <sz val="9"/>
        <color indexed="20"/>
        <rFont val="Arial"/>
        <family val="2"/>
      </rPr>
      <t xml:space="preserve">  C.D. Block / M.C./ M / N.A.-wise figures of 
          Census 2011 for area are not available at present</t>
    </r>
  </si>
  <si>
    <t>(16)</t>
  </si>
  <si>
    <t>(17)</t>
  </si>
  <si>
    <t>(19)</t>
  </si>
  <si>
    <t>(18)</t>
  </si>
  <si>
    <t>0-4</t>
  </si>
  <si>
    <t>5-9</t>
  </si>
  <si>
    <t>10-14</t>
  </si>
  <si>
    <t>15-19</t>
  </si>
  <si>
    <t>20-24</t>
  </si>
  <si>
    <t>25-29</t>
  </si>
  <si>
    <t>30-34</t>
  </si>
  <si>
    <t>35-39</t>
  </si>
  <si>
    <t>40-44</t>
  </si>
  <si>
    <t>45-49</t>
  </si>
  <si>
    <t>50-54</t>
  </si>
  <si>
    <t>55-59</t>
  </si>
  <si>
    <t>60-64</t>
  </si>
  <si>
    <t>65-69</t>
  </si>
  <si>
    <t>Source : Census of India, 2001 &amp; 2011</t>
  </si>
  <si>
    <t>(b) Less than 50 tonnes</t>
  </si>
  <si>
    <t>(a) less than 50 hectares</t>
  </si>
  <si>
    <t>Age not stated</t>
  </si>
  <si>
    <t>All Ages</t>
  </si>
  <si>
    <t>70-74</t>
  </si>
  <si>
    <t>75-79</t>
  </si>
  <si>
    <t>80+</t>
  </si>
  <si>
    <t xml:space="preserve">Male </t>
  </si>
  <si>
    <t xml:space="preserve">Number </t>
  </si>
  <si>
    <t>Area of land distributed 
(hectare)</t>
  </si>
  <si>
    <t>PC to TW</t>
  </si>
  <si>
    <t>Cultivators</t>
  </si>
  <si>
    <t>Class of Total Workers</t>
  </si>
  <si>
    <t>Other Workers</t>
  </si>
  <si>
    <t>Main workers</t>
  </si>
  <si>
    <t>Marginal workers</t>
  </si>
  <si>
    <t>Category</t>
  </si>
  <si>
    <t>Total Workers :</t>
  </si>
  <si>
    <t>(a)</t>
  </si>
  <si>
    <t>Main workers :</t>
  </si>
  <si>
    <t xml:space="preserve">Total </t>
  </si>
  <si>
    <t>(b)</t>
  </si>
  <si>
    <t>Marginal workers :</t>
  </si>
  <si>
    <t>A.</t>
  </si>
  <si>
    <t>Cultivators :</t>
  </si>
  <si>
    <t>Climate:</t>
  </si>
  <si>
    <t>Agricultural Labourers :</t>
  </si>
  <si>
    <t>Household Industry Workers :</t>
  </si>
  <si>
    <t>Other Workers :</t>
  </si>
  <si>
    <t>Total Workers : (1+2+3+4) = (a+b)</t>
  </si>
  <si>
    <t xml:space="preserve">      Rural</t>
  </si>
  <si>
    <t>Others</t>
  </si>
  <si>
    <t>Religion not stated</t>
  </si>
  <si>
    <t>Sadar</t>
  </si>
  <si>
    <t>Bankura-II</t>
  </si>
  <si>
    <t>Bankura-I</t>
  </si>
  <si>
    <t>Chhatna</t>
  </si>
  <si>
    <t>Saltora</t>
  </si>
  <si>
    <t>Mejia</t>
  </si>
  <si>
    <t>Barjora</t>
  </si>
  <si>
    <t xml:space="preserve">Beliatore </t>
  </si>
  <si>
    <t>Onda</t>
  </si>
  <si>
    <t xml:space="preserve">Sugarcane </t>
  </si>
  <si>
    <t>Khatra</t>
  </si>
  <si>
    <t>Indpur</t>
  </si>
  <si>
    <t>Ranibandh</t>
  </si>
  <si>
    <t>Barikul</t>
  </si>
  <si>
    <t>Source : Census of India, 2001</t>
  </si>
  <si>
    <t>Disability</t>
  </si>
  <si>
    <t xml:space="preserve">Sources : </t>
  </si>
  <si>
    <t>No. of persons 
injured</t>
  </si>
  <si>
    <t>No. of Govt. 
Schemes
 operated</t>
  </si>
  <si>
    <t>No. of Originating /
 Terminating 
Bus routes</t>
  </si>
  <si>
    <t>Year 
( as on 31st March)</t>
  </si>
  <si>
    <t>Class of 
Offence</t>
  </si>
  <si>
    <t>2. Forest Produce</t>
  </si>
  <si>
    <t>3. Revenue &amp; Expenditure</t>
  </si>
  <si>
    <t>Public</t>
  </si>
  <si>
    <t>Private</t>
  </si>
  <si>
    <t>Upto 5 years</t>
  </si>
  <si>
    <t>Above 5 years</t>
  </si>
  <si>
    <t>Year  
(as on 30th Sept.)</t>
  </si>
  <si>
    <t>Year
(Census)</t>
  </si>
  <si>
    <t>TT(PW)</t>
  </si>
  <si>
    <t>DPT</t>
  </si>
  <si>
    <t>Polio</t>
  </si>
  <si>
    <t>BCG</t>
  </si>
  <si>
    <t>Measles</t>
  </si>
  <si>
    <t>Indoor</t>
  </si>
  <si>
    <t>All Industry</t>
  </si>
  <si>
    <t xml:space="preserve">3. Employment in State Government  Offices 
(As on 31st.December) </t>
  </si>
  <si>
    <t>Outdoor</t>
  </si>
  <si>
    <t>(a) D.I.(Primary+Junior Basic)</t>
  </si>
  <si>
    <t>(b) Municipalities / Corporations / Local bodies etc.</t>
  </si>
  <si>
    <t>Renewal
 Premium</t>
  </si>
  <si>
    <t>SAHC
+ DVH</t>
  </si>
  <si>
    <t>BAHC</t>
  </si>
  <si>
    <t>ABAHC</t>
  </si>
  <si>
    <t>ADAC</t>
  </si>
  <si>
    <t>MAHC</t>
  </si>
  <si>
    <t>(c) I.C.S.E./ C.B.S.E./Anglo-Indian &amp; Missionaries etc.</t>
  </si>
  <si>
    <t>(ii)</t>
  </si>
  <si>
    <t>(iii)</t>
  </si>
  <si>
    <t>(i)</t>
  </si>
  <si>
    <t>(iv)</t>
  </si>
  <si>
    <t>All Establishments</t>
  </si>
  <si>
    <t>Sadar Sub- Div.</t>
  </si>
  <si>
    <t>Base : Triennium ending crop year 1981- 82 = 100</t>
  </si>
  <si>
    <t xml:space="preserve">  Bishnupur</t>
  </si>
  <si>
    <t xml:space="preserve">  Sonamukhi</t>
  </si>
  <si>
    <t>* * * * * * * * * *</t>
  </si>
  <si>
    <t>01-04-1869</t>
  </si>
  <si>
    <t>01-09-1873</t>
  </si>
  <si>
    <t>01-04-1886</t>
  </si>
  <si>
    <t>5) Each Madrasah</t>
  </si>
  <si>
    <t>(e) Senior Madrasahs</t>
  </si>
  <si>
    <t>Engineering / Technical Schools</t>
  </si>
  <si>
    <t>2. New Factories registered with Directorate of Cottage 
     and Small Scale Industries (as on 31st March)</t>
  </si>
  <si>
    <t xml:space="preserve">           b) Average daily employment</t>
  </si>
  <si>
    <t xml:space="preserve">         b) Average daily employment</t>
  </si>
  <si>
    <t>Bureau  of  Applied  Economics  &amp;  Statistics</t>
  </si>
  <si>
    <t>Government  of  West Bengal</t>
  </si>
  <si>
    <t>(a) Junior Technical Schools</t>
  </si>
  <si>
    <t>(c) Industrial Training Institutes (ITI)</t>
  </si>
  <si>
    <t>All PTTI &amp; Nursing Training Institutes</t>
  </si>
  <si>
    <t>(a) Pre-primary &amp; Primary Teachers' Training Institutes (PTTI)</t>
  </si>
  <si>
    <t>(b) Certificate oriented Nursing Training Schools</t>
  </si>
  <si>
    <t>Engineering / Medical / Technical Colleges</t>
  </si>
  <si>
    <t>Total 
Population</t>
  </si>
  <si>
    <t>0 / 4</t>
  </si>
  <si>
    <r>
      <t xml:space="preserve">Recognized </t>
    </r>
    <r>
      <rPr>
        <b/>
        <u/>
        <sz val="10"/>
        <rFont val="Arial"/>
        <family val="2"/>
      </rPr>
      <t>Primary Schools</t>
    </r>
    <r>
      <rPr>
        <b/>
        <sz val="10"/>
        <rFont val="Arial"/>
        <family val="2"/>
      </rPr>
      <t xml:space="preserve"> under the control of or of the type of</t>
    </r>
  </si>
  <si>
    <r>
      <t>Recognized</t>
    </r>
    <r>
      <rPr>
        <b/>
        <u/>
        <sz val="10"/>
        <rFont val="Arial"/>
        <family val="2"/>
      </rPr>
      <t xml:space="preserve"> Middle Schools</t>
    </r>
    <r>
      <rPr>
        <b/>
        <sz val="10"/>
        <rFont val="Arial"/>
        <family val="2"/>
      </rPr>
      <t xml:space="preserve"> under the control of or of the type of</t>
    </r>
  </si>
  <si>
    <t>* Unit is per kg</t>
  </si>
  <si>
    <r>
      <t>Recognized</t>
    </r>
    <r>
      <rPr>
        <b/>
        <u/>
        <sz val="10"/>
        <rFont val="Arial"/>
        <family val="2"/>
      </rPr>
      <t xml:space="preserve"> High Schools</t>
    </r>
    <r>
      <rPr>
        <b/>
        <sz val="10"/>
        <rFont val="Arial"/>
        <family val="2"/>
      </rPr>
      <t xml:space="preserve"> under the control of or of the type of</t>
    </r>
  </si>
  <si>
    <r>
      <t>Recognized</t>
    </r>
    <r>
      <rPr>
        <b/>
        <u/>
        <sz val="10"/>
        <rFont val="Arial"/>
        <family val="2"/>
      </rPr>
      <t xml:space="preserve"> Higher Secondary Schools</t>
    </r>
    <r>
      <rPr>
        <b/>
        <sz val="10"/>
        <rFont val="Arial"/>
        <family val="2"/>
      </rPr>
      <t xml:space="preserve"> under the control of or of the type of</t>
    </r>
  </si>
  <si>
    <t>Public Library</t>
  </si>
  <si>
    <t>Free Reading
 Room</t>
  </si>
  <si>
    <t>(a) Medical (Allopathic, Dental, Homeopathic, Ayurvedic) Colleges</t>
  </si>
  <si>
    <t>Department of Statistical Analysis and Computer
 Service, Mumbai, Reserve Bank of India</t>
  </si>
  <si>
    <t>Egg ( Hen )</t>
  </si>
  <si>
    <r>
      <t xml:space="preserve">Recognized </t>
    </r>
    <r>
      <rPr>
        <b/>
        <u/>
        <sz val="10"/>
        <rFont val="Arial"/>
        <family val="2"/>
      </rPr>
      <t>Primary Schools</t>
    </r>
    <r>
      <rPr>
        <b/>
        <sz val="10"/>
        <rFont val="Arial"/>
        <family val="2"/>
      </rPr>
      <t xml:space="preserve"> under the control of or of  the type of</t>
    </r>
  </si>
  <si>
    <t>Police
 Station</t>
  </si>
  <si>
    <t>House-
holds</t>
  </si>
  <si>
    <t>Out-
growth</t>
  </si>
  <si>
    <r>
      <t>Recognized</t>
    </r>
    <r>
      <rPr>
        <b/>
        <u/>
        <sz val="10"/>
        <rFont val="Arial"/>
        <family val="2"/>
      </rPr>
      <t xml:space="preserve"> Middle Schools</t>
    </r>
    <r>
      <rPr>
        <b/>
        <sz val="10"/>
        <rFont val="Arial"/>
        <family val="2"/>
      </rPr>
      <t xml:space="preserve"> under the control of or of  the type of</t>
    </r>
  </si>
  <si>
    <r>
      <t xml:space="preserve">Recognized </t>
    </r>
    <r>
      <rPr>
        <b/>
        <u/>
        <sz val="10"/>
        <rFont val="Arial"/>
        <family val="2"/>
      </rPr>
      <t>High Schools</t>
    </r>
    <r>
      <rPr>
        <b/>
        <sz val="10"/>
        <rFont val="Arial"/>
        <family val="2"/>
      </rPr>
      <t xml:space="preserve"> under the control of or of the type of</t>
    </r>
  </si>
  <si>
    <r>
      <t xml:space="preserve">Recognized </t>
    </r>
    <r>
      <rPr>
        <b/>
        <u/>
        <sz val="10"/>
        <rFont val="Arial"/>
        <family val="2"/>
      </rPr>
      <t>Higher Secondary Schools</t>
    </r>
    <r>
      <rPr>
        <b/>
        <sz val="10"/>
        <rFont val="Arial"/>
        <family val="2"/>
      </rPr>
      <t xml:space="preserve"> under the control of or of the type of</t>
    </r>
  </si>
  <si>
    <t>Year / Month</t>
  </si>
  <si>
    <t>Manufacture of chemicals and chemical products</t>
  </si>
  <si>
    <t>Manufacture of fabricated metal products except machinery and equipment</t>
  </si>
  <si>
    <t>Household 
Ind. Workers</t>
  </si>
  <si>
    <t>Agricultural 
Labourers</t>
  </si>
  <si>
    <t>* In thousand bales of 180 kgs. each</t>
  </si>
  <si>
    <t>Expenditure
('000 Rs.)</t>
  </si>
  <si>
    <t>(b) Engineering Colleges (Govt.+Private)</t>
  </si>
  <si>
    <t>Agricultural Meteorologist,</t>
  </si>
  <si>
    <t>(c) Management Colleges (Govt.+Private)</t>
  </si>
  <si>
    <t>(d) Polytechnics (Govt.+Private)</t>
  </si>
  <si>
    <t>Employment situation:</t>
  </si>
  <si>
    <t>(e) Institute of Pharmacy / Opthalmology</t>
  </si>
  <si>
    <r>
      <t>TABLE 2.3</t>
    </r>
    <r>
      <rPr>
        <sz val="10"/>
        <rFont val="Arial"/>
        <family val="2"/>
      </rPr>
      <t xml:space="preserve">   </t>
    </r>
  </si>
  <si>
    <t xml:space="preserve"> Superintendent</t>
  </si>
  <si>
    <t xml:space="preserve"> S.D.P.O.</t>
  </si>
  <si>
    <t xml:space="preserve"> Inspector</t>
  </si>
  <si>
    <t xml:space="preserve"> Sub-Inspector</t>
  </si>
  <si>
    <t xml:space="preserve"> Sergeant / Armed S.I.</t>
  </si>
  <si>
    <t xml:space="preserve"> J.C.O.</t>
  </si>
  <si>
    <t xml:space="preserve"> Constable </t>
  </si>
  <si>
    <t>Govt.of  West Bengal</t>
  </si>
  <si>
    <t>1) Principal Agricultural Officer, Bankura</t>
  </si>
  <si>
    <t>Source : Superintendent of Agricultural Marketing, Bankura</t>
  </si>
  <si>
    <t>Source : Commissioner of Labour, West Bengal</t>
  </si>
  <si>
    <t>Source : All Municipalities, Bankura</t>
  </si>
  <si>
    <t>Source : Post Master General, West Bengal Circle</t>
  </si>
  <si>
    <t>Value of production (Thousand Rupees)</t>
  </si>
  <si>
    <t>Source : District Magistrate, Bankura</t>
  </si>
  <si>
    <t>Sadar Sub-Division</t>
  </si>
  <si>
    <t xml:space="preserve">          DPT = Diphtheria Pertussis Tetanus</t>
  </si>
  <si>
    <t xml:space="preserve">          BCG = Bacillus Calmette Guerin</t>
  </si>
  <si>
    <t>1) Asstt. Director of  Fisheries, Bankura</t>
  </si>
  <si>
    <t>Source : Lead Bank Office, Bankura</t>
  </si>
  <si>
    <t>Geographical Location</t>
  </si>
  <si>
    <t>Monthly Rainfall</t>
  </si>
  <si>
    <t>Base : 2006-07  = 100</t>
  </si>
  <si>
    <t>Assembly and Parliamentary Constituencies</t>
  </si>
  <si>
    <t>NIC ' 08
 Code</t>
  </si>
  <si>
    <t>Population by religion</t>
  </si>
  <si>
    <t xml:space="preserve">Population by religion &amp; by sex </t>
  </si>
  <si>
    <t>Achievement of Universal Immunization Programme</t>
  </si>
  <si>
    <t>224*</t>
  </si>
  <si>
    <t>193**</t>
  </si>
  <si>
    <t>1388*</t>
  </si>
  <si>
    <t>2114**</t>
  </si>
  <si>
    <t xml:space="preserve">                    Male</t>
  </si>
  <si>
    <t>Yield rate of Rice</t>
  </si>
  <si>
    <t>Type of Institution</t>
  </si>
  <si>
    <t>(d) Railway (ER/SER) / DVC etc.</t>
  </si>
  <si>
    <t>6) Each College</t>
  </si>
  <si>
    <t>Source : District Census Handbook,1961</t>
  </si>
  <si>
    <t>Mouzas</t>
  </si>
  <si>
    <t>No. of 
Un-reserved Constituencies</t>
  </si>
  <si>
    <t>No. of Constituencies reserved for</t>
  </si>
  <si>
    <t xml:space="preserve">Total Population </t>
  </si>
  <si>
    <t>Misc. Flower</t>
  </si>
  <si>
    <t xml:space="preserve">                        Minimum</t>
  </si>
  <si>
    <t>Loans repayment by individuals &amp; other societies 
(Rs. in thousand)</t>
  </si>
  <si>
    <t>Primary Land Mortgage Bank :-</t>
  </si>
  <si>
    <t>Sl. No.</t>
  </si>
  <si>
    <t>LANGUAGE</t>
  </si>
  <si>
    <t>Total Population (A+B) :</t>
  </si>
  <si>
    <t>No. of persons 
died</t>
  </si>
  <si>
    <t>TABLE  4.4</t>
  </si>
  <si>
    <t>TABLE 4.8</t>
  </si>
  <si>
    <t>TABLE 4.7</t>
  </si>
  <si>
    <t>Manufacture of furniture</t>
  </si>
  <si>
    <t>Nitrogen (N)</t>
  </si>
  <si>
    <t>Phosphate (P)</t>
  </si>
  <si>
    <t>Potash (K)</t>
  </si>
  <si>
    <t>Govt. of  W.B.</t>
  </si>
  <si>
    <t>1) Directorate of Agriculture, Govt. of  W.B.</t>
  </si>
  <si>
    <t>2) Bureau of Applied Economics &amp; Statistics, Govt. of  W.B.</t>
  </si>
  <si>
    <t>Sub-divisions</t>
  </si>
  <si>
    <t>Municipal Corporations</t>
  </si>
  <si>
    <t>Municipalities</t>
  </si>
  <si>
    <t>Sq. Km.</t>
  </si>
  <si>
    <t>Annual Rainfall</t>
  </si>
  <si>
    <t>Kg. per hect.</t>
  </si>
  <si>
    <t>Sub-centres</t>
  </si>
  <si>
    <t>Applicants on Live-register</t>
  </si>
  <si>
    <t>Net Collection from Small Savings</t>
  </si>
  <si>
    <t>Gangajalghati</t>
  </si>
  <si>
    <t>1) Directorate of Panchayat, Govt. of W.B.</t>
  </si>
  <si>
    <t>3) L.S.G. Cell under D.M. Office, Bankura</t>
  </si>
  <si>
    <t>(1) Collectorate (Election Deptt.), Bankura</t>
  </si>
  <si>
    <t>(2) Collectorate (L.S.G. Cell), Bankura</t>
  </si>
  <si>
    <t>(3) Dist. Panchayat Office, Bankura</t>
  </si>
  <si>
    <t>Density of Population
(per Sq. Km.)</t>
  </si>
  <si>
    <t>P.C. of population to district population</t>
  </si>
  <si>
    <t>No. of 
Males</t>
  </si>
  <si>
    <t>No. of
Females</t>
  </si>
  <si>
    <t>No. of female
 per 100 males</t>
  </si>
  <si>
    <t>Urban 
Population</t>
  </si>
  <si>
    <t>Rural
Population</t>
  </si>
  <si>
    <t>P.C. of rural population to total population</t>
  </si>
  <si>
    <t>Sub-Division / Town</t>
  </si>
  <si>
    <t>M / C.T.</t>
  </si>
  <si>
    <t>P.C. to respective total population</t>
  </si>
  <si>
    <t>C.T.</t>
  </si>
  <si>
    <t>Total Workers(TW)</t>
  </si>
  <si>
    <t>Non-workers :</t>
  </si>
  <si>
    <t>P.C. of Col.(4) to respective total population</t>
  </si>
  <si>
    <t>P.C. of Col.(9) to respective total workers</t>
  </si>
  <si>
    <t>P.C. to total population of  district</t>
  </si>
  <si>
    <t>N.G.O /
 Private 
Bodies
(Nursing 
Homes)</t>
  </si>
  <si>
    <t>Dy. C.M.O.H. - I &amp; II, Bankura</t>
  </si>
  <si>
    <t>No. of Family Welfare Centres</t>
  </si>
  <si>
    <t>No. of Cases treated</t>
  </si>
  <si>
    <t>Dy. C.M.O.H. - III, Bankura</t>
  </si>
  <si>
    <t xml:space="preserve">District Family Welfare Office, Bankura </t>
  </si>
  <si>
    <t>Source : Dy. C.M.O.H. - III, Bankura</t>
  </si>
  <si>
    <t>1) Dy. C.M.O.H. - II, Bankura</t>
  </si>
  <si>
    <r>
      <t>#</t>
    </r>
    <r>
      <rPr>
        <sz val="9"/>
        <rFont val="Arial"/>
        <family val="2"/>
      </rPr>
      <t xml:space="preserve"> As per Census Population 2001</t>
    </r>
  </si>
  <si>
    <t>(a) General Stream(Including independent H.S. School)</t>
  </si>
  <si>
    <t>(b) Vocational Stream(Including independent H.S. School)</t>
  </si>
  <si>
    <t>1) D.I. of Schools (Primary)</t>
  </si>
  <si>
    <t>2) D.I. of Schools (Secondary)</t>
  </si>
  <si>
    <t>7) Each Study Centre of Open University</t>
  </si>
  <si>
    <t>All other Commercial &amp; Vocational Institutions  
(Affiliated to W.B. State Council of Technical Education)</t>
  </si>
  <si>
    <t>Social Welfare Homes under M.E.E. Deptt.</t>
  </si>
  <si>
    <t>Reformatory or Certified Institutions or Welfare
 Homes under Social Welfare Deptt. for the 
Juveniles or destitute children or the children
of  red-light areas</t>
  </si>
  <si>
    <t>5) I.C.D.S. cell under D.M. Office</t>
  </si>
  <si>
    <t>9) Heads of  Ekalabya Schools</t>
  </si>
  <si>
    <t>TABLE 5.1</t>
  </si>
  <si>
    <t>TABLE 5.1(a)</t>
  </si>
  <si>
    <t>TABLE 5.1(b)</t>
  </si>
  <si>
    <t>TABLE 5.2</t>
  </si>
  <si>
    <t>TABLE 5.3</t>
  </si>
  <si>
    <t>TABLE 5.3(a)</t>
  </si>
  <si>
    <t>TABLE 5.3(b)</t>
  </si>
  <si>
    <t xml:space="preserve">TABLE 5.3(c)  </t>
  </si>
  <si>
    <t>TABLE 5.3(d)</t>
  </si>
  <si>
    <t>TABLE 5.3(e)</t>
  </si>
  <si>
    <t>TABLE 5.4</t>
  </si>
  <si>
    <t>TABLE 5.5</t>
  </si>
  <si>
    <t>TABLE 5.5(a)</t>
  </si>
  <si>
    <t>TABLE 5.6</t>
  </si>
  <si>
    <t>TABLE 5.7</t>
  </si>
  <si>
    <t>TABLE 5.8</t>
  </si>
  <si>
    <t>TABLE 6.1</t>
  </si>
  <si>
    <t>TABLE 6.2</t>
  </si>
  <si>
    <t>TABLE 7.1</t>
  </si>
  <si>
    <t>TABLE 7.2</t>
  </si>
  <si>
    <t>TABLE 8.1</t>
  </si>
  <si>
    <t>TABLE 8.2</t>
  </si>
  <si>
    <t>TABLE 15.2</t>
  </si>
  <si>
    <t>TABLE 15.1</t>
  </si>
  <si>
    <t>TABLE 14.1</t>
  </si>
  <si>
    <t>TABLE 14.2</t>
  </si>
  <si>
    <t>Directorate of Cottage &amp; Small Scale Industries, Govt.of  W.B.</t>
  </si>
  <si>
    <t>Price as on February (in Rs.)</t>
  </si>
  <si>
    <t>TABLE 13.2</t>
  </si>
  <si>
    <t>TABLE 13.3</t>
  </si>
  <si>
    <t xml:space="preserve">Block
 Primary
 Health
 Centres  </t>
  </si>
  <si>
    <t>TABLE 13.1</t>
  </si>
  <si>
    <t>TABLE 12.5</t>
  </si>
  <si>
    <t>TABLE 12.6</t>
  </si>
  <si>
    <t xml:space="preserve">Population </t>
  </si>
  <si>
    <t>Religious Communities</t>
  </si>
  <si>
    <t>All Religions</t>
  </si>
  <si>
    <t>Note : Census 1981 was conducted Police-Station wise</t>
  </si>
  <si>
    <t xml:space="preserve">Upto 31st March </t>
  </si>
  <si>
    <t>Units</t>
  </si>
  <si>
    <t>2) District Industrial Officer, Bankura</t>
  </si>
  <si>
    <t>Note : After the  introduction of the Micro, Small &amp; Medium Enterprises Development Act in October , 2006
the  registration system has been abolished</t>
  </si>
  <si>
    <t>2) Small farmer possesses agricultural 
    land measuring more than 1 hectare and 
     upto 2 hectares</t>
  </si>
  <si>
    <t>District Total- 3</t>
  </si>
  <si>
    <t>Madhyamik Siksha Kendras</t>
  </si>
  <si>
    <t>Centres of Rabindra Mukta Vidyalaya</t>
  </si>
  <si>
    <t>Source : Directorate of Agricultural Marketing, Govt. of W.B.</t>
  </si>
  <si>
    <t>1) Directorate of Rationing, Govt. of  W.B.</t>
  </si>
  <si>
    <t>Educational Institutions for the Blind and other Physically &amp; Mentally Handicapped</t>
  </si>
  <si>
    <t>2) District Mass Education Extension Officer</t>
  </si>
  <si>
    <t>Source : Heads of all Technical and Professional Institutions, Bankura</t>
  </si>
  <si>
    <t>Educational Institutions for the Blind and other  Physically &amp; Mentally Handicapped</t>
  </si>
  <si>
    <t>Source : Bureau of Applied Economics &amp; Statistics, Govt. of W.B.</t>
  </si>
  <si>
    <t>Super / Director of the respective (L.S.G./Private) Hospitals, Bankura</t>
  </si>
  <si>
    <t>Teachers' Training &amp; Nursing Training Colleges</t>
  </si>
  <si>
    <t>Page No.</t>
  </si>
  <si>
    <t>C  O  N  T  E  N  T  S</t>
  </si>
  <si>
    <t>(a) Teachers' Training (B.Ed.+Phy.Ed.) Colleges</t>
  </si>
  <si>
    <t>(b) Nursing Training Colleges (B.Sc.)</t>
  </si>
  <si>
    <t>(a) Law Colleges</t>
  </si>
  <si>
    <t>Rs. in thousand</t>
  </si>
  <si>
    <t>(b) Music Colleges</t>
  </si>
  <si>
    <t>(d) Art Colleges</t>
  </si>
  <si>
    <t>Poultry :</t>
  </si>
  <si>
    <t>Premium Income (Rs. in thousand)</t>
  </si>
  <si>
    <t>Source : Divisional Engineer, Bankura Construction Divn. (W.B.S.E.B.)</t>
  </si>
  <si>
    <t>a) Working factories</t>
  </si>
  <si>
    <t>2) Directorate of District Distribution,</t>
  </si>
  <si>
    <t>Source :</t>
  </si>
  <si>
    <t>Minor Offence</t>
  </si>
  <si>
    <t>Offences
against women</t>
  </si>
  <si>
    <t>** In bales per hectare</t>
  </si>
  <si>
    <t>District Head Quarters</t>
  </si>
  <si>
    <t>Name of district head quarters</t>
  </si>
  <si>
    <t>* Included in " Others "</t>
  </si>
  <si>
    <t xml:space="preserve">1. Area by class of forest </t>
  </si>
  <si>
    <t>* Up to Sept.2006</t>
  </si>
  <si>
    <t>(e) Autonomous Research Institutions of Special Importance</t>
  </si>
  <si>
    <t>(c) Nutrition &amp; Home Science Colleges</t>
  </si>
  <si>
    <t>Sishu Siksha Kendras</t>
  </si>
  <si>
    <t>Manufacture of food products</t>
  </si>
  <si>
    <t>Manufacture of Tobacco Products</t>
  </si>
  <si>
    <t xml:space="preserve">Manufacture of Textiles </t>
  </si>
  <si>
    <t>C O N T E N T S (Concld.)</t>
  </si>
  <si>
    <t>Bankura at a glance (Concld.)</t>
  </si>
  <si>
    <t>Manufacture of wood and  products of wood &amp; cork, except furniture;
manufacture of articles of straw and plaiting materials</t>
  </si>
  <si>
    <t>Manufacture of paper and paper products</t>
  </si>
  <si>
    <t>Manufacture of rubber and plastic products</t>
  </si>
  <si>
    <t xml:space="preserve">Manufacture of other non-metalic mineral products </t>
  </si>
  <si>
    <t>Manufacture of basic metals</t>
  </si>
  <si>
    <t>Warehousing and Support activities for Transportation</t>
  </si>
  <si>
    <t>Adult High Schools</t>
  </si>
  <si>
    <t>Ekalabya Schools</t>
  </si>
  <si>
    <t>..</t>
  </si>
  <si>
    <t>Date of
 Establishment</t>
  </si>
  <si>
    <t>Name of
 Zilla Parishad</t>
  </si>
  <si>
    <t>Non-formal Education Centres</t>
  </si>
  <si>
    <t>Anganwadi (education) Centres under I.C.D.S.</t>
  </si>
  <si>
    <t>1) District Panchayat Officer</t>
  </si>
  <si>
    <t>(a) D.I.(Secondary)</t>
  </si>
  <si>
    <t xml:space="preserve"> (Number)</t>
  </si>
  <si>
    <t>STUDY CENTRES OF OPEN UNIVERSITIES</t>
  </si>
  <si>
    <t>Recognized Sanskrit Tols</t>
  </si>
  <si>
    <t>General College &amp; University (Excluding Open University)</t>
  </si>
  <si>
    <t>Special &amp; Non-formal Education</t>
  </si>
  <si>
    <t>(20)</t>
  </si>
  <si>
    <t>(21)</t>
  </si>
  <si>
    <t>(22)</t>
  </si>
  <si>
    <t>3.3(a)</t>
  </si>
  <si>
    <t>Description</t>
  </si>
  <si>
    <t>Daily</t>
  </si>
  <si>
    <t>Weekly</t>
  </si>
  <si>
    <t>Fortnightly</t>
  </si>
  <si>
    <t>Monthly</t>
  </si>
  <si>
    <t>Bengali</t>
  </si>
  <si>
    <t>English</t>
  </si>
  <si>
    <t>Hindi</t>
  </si>
  <si>
    <t>Urdu</t>
  </si>
  <si>
    <t>Marginal</t>
  </si>
  <si>
    <t>Small</t>
  </si>
  <si>
    <t>Semi-medium</t>
  </si>
  <si>
    <t>Medium</t>
  </si>
  <si>
    <t>Large</t>
  </si>
  <si>
    <t>S   I   Z   E    -    C   L   A   S   S</t>
  </si>
  <si>
    <t>(Area in hectare)</t>
  </si>
  <si>
    <t xml:space="preserve">Note : </t>
  </si>
  <si>
    <t>Below 1.0 hectare</t>
  </si>
  <si>
    <t>10.0 hectares and above. It includes mostly institutional holdings</t>
  </si>
  <si>
    <t xml:space="preserve">Foodgrains : </t>
  </si>
  <si>
    <t>1.</t>
  </si>
  <si>
    <t>2.</t>
  </si>
  <si>
    <t>3.</t>
  </si>
  <si>
    <t>4.</t>
  </si>
  <si>
    <t>5.</t>
  </si>
  <si>
    <t>6.</t>
  </si>
  <si>
    <t>7.</t>
  </si>
  <si>
    <t>8.</t>
  </si>
  <si>
    <t>Crops</t>
  </si>
  <si>
    <t>Rice</t>
  </si>
  <si>
    <t>Aus</t>
  </si>
  <si>
    <t>Aman</t>
  </si>
  <si>
    <t>Boro</t>
  </si>
  <si>
    <t>N.G.O / Private Bodies
(Nursing Homes )</t>
  </si>
  <si>
    <t>Wheat</t>
  </si>
  <si>
    <t>Barley</t>
  </si>
  <si>
    <t>Maize</t>
  </si>
  <si>
    <t>Other Cereals</t>
  </si>
  <si>
    <t>Total Cereals</t>
  </si>
  <si>
    <t>Tur</t>
  </si>
  <si>
    <t>Other Pulses</t>
  </si>
  <si>
    <t>Total Pulses</t>
  </si>
  <si>
    <t>Total Foodgrains</t>
  </si>
  <si>
    <t>Other Oil seeds</t>
  </si>
  <si>
    <t>Total Oil seeds</t>
  </si>
  <si>
    <t>Jute</t>
  </si>
  <si>
    <t>Mesta</t>
  </si>
  <si>
    <t>Sunukpahari</t>
  </si>
  <si>
    <t>Each</t>
  </si>
  <si>
    <t>Cow (Milk )</t>
  </si>
  <si>
    <t>Goat ( Alive )</t>
  </si>
  <si>
    <t>Per Kg.</t>
  </si>
  <si>
    <t xml:space="preserve">Velly Gur </t>
  </si>
  <si>
    <t>Fish ( Rui )</t>
  </si>
  <si>
    <t>Fish (Katla )</t>
  </si>
  <si>
    <t>Spinach</t>
  </si>
  <si>
    <t>Sweet Pumpkin</t>
  </si>
  <si>
    <t>Fire Wood</t>
  </si>
  <si>
    <t>Ghee ( Buffalo )</t>
  </si>
  <si>
    <t>Chhana ( Skimmed )</t>
  </si>
  <si>
    <t xml:space="preserve">Mug Dal </t>
  </si>
  <si>
    <t>2011-12</t>
  </si>
  <si>
    <t>LAST CENSUS YEAR</t>
  </si>
  <si>
    <t>Gram ( Whole )</t>
  </si>
  <si>
    <t xml:space="preserve">Gram Dal </t>
  </si>
  <si>
    <t>Grapes</t>
  </si>
  <si>
    <t>Arhar Dal(Split)</t>
  </si>
  <si>
    <t>Cow ( With Milk )</t>
  </si>
  <si>
    <t>Each 10 kg</t>
  </si>
  <si>
    <t>100gm.</t>
  </si>
  <si>
    <t>Tobacco(Biri)</t>
  </si>
  <si>
    <t>Paddy (straw) small</t>
  </si>
  <si>
    <t>Buffalo( Milk )</t>
  </si>
  <si>
    <t>Buffalo( Alive)</t>
  </si>
  <si>
    <t>Dry Coconut</t>
  </si>
  <si>
    <t>Lemon</t>
  </si>
  <si>
    <t>Coconut ( Green )</t>
  </si>
  <si>
    <t>Butter</t>
  </si>
  <si>
    <t>Name of
 Block</t>
  </si>
  <si>
    <t>Orange</t>
  </si>
  <si>
    <t>23º 38' 00"N</t>
  </si>
  <si>
    <t>Name
 of the
 district</t>
  </si>
  <si>
    <t>22º 38' 00"N</t>
  </si>
  <si>
    <t>87º46' 00"E</t>
  </si>
  <si>
    <t>86º36' 00"E</t>
  </si>
  <si>
    <t>23º14' 00"N</t>
  </si>
  <si>
    <t>87º 04' 00"E</t>
  </si>
  <si>
    <t>Total
 No.
 of 
Doctors</t>
  </si>
  <si>
    <t>Total
 No.
of 
Doctors</t>
  </si>
  <si>
    <t>Sub-Division /
 C.D.Block / M</t>
  </si>
  <si>
    <t xml:space="preserve">Apple </t>
  </si>
  <si>
    <t>per cent</t>
  </si>
  <si>
    <t>*  In 1000 bales of 180 kgs each</t>
  </si>
  <si>
    <t>Til ( Seed )</t>
  </si>
  <si>
    <t>Egg ( Poultry )</t>
  </si>
  <si>
    <t>Egg (Duck )</t>
  </si>
  <si>
    <t>Dry Chilli</t>
  </si>
  <si>
    <t>Ground nut ( seed )</t>
  </si>
  <si>
    <t>Sugarcane</t>
  </si>
  <si>
    <t>Potato</t>
  </si>
  <si>
    <t>Tobacco</t>
  </si>
  <si>
    <t>Tea</t>
  </si>
  <si>
    <t>Chillies (dry)</t>
  </si>
  <si>
    <t>Ginger</t>
  </si>
  <si>
    <t>Total Miscellaneous crops</t>
  </si>
  <si>
    <t>(Thousand hectares)</t>
  </si>
  <si>
    <t>Sources :</t>
  </si>
  <si>
    <t>Upto</t>
  </si>
  <si>
    <t>Other Fibres</t>
  </si>
  <si>
    <t>Total Fibres</t>
  </si>
  <si>
    <t>Number of beneficiaries</t>
  </si>
  <si>
    <t>(Thousand tonnes)</t>
  </si>
  <si>
    <t>(Kilogram per hectare)</t>
  </si>
  <si>
    <t>* In bales / hectare</t>
  </si>
  <si>
    <t>District</t>
  </si>
  <si>
    <t>West Bengal</t>
  </si>
  <si>
    <t>Name of Fruits / Vegetables</t>
  </si>
  <si>
    <t>Area (Thousand hectares)</t>
  </si>
  <si>
    <t>Mango</t>
  </si>
  <si>
    <t>Banana</t>
  </si>
  <si>
    <t>Pineapple</t>
  </si>
  <si>
    <t>Papaya</t>
  </si>
  <si>
    <t>Guava</t>
  </si>
  <si>
    <t>Jackfruit</t>
  </si>
  <si>
    <t>Litchi</t>
  </si>
  <si>
    <t>Mandarin Orange</t>
  </si>
  <si>
    <t>Other Citrus</t>
  </si>
  <si>
    <t>Progress of L.I.C.</t>
  </si>
  <si>
    <t>Sapota</t>
  </si>
  <si>
    <t>B.</t>
  </si>
  <si>
    <t>Tomato</t>
  </si>
  <si>
    <t>Cabbage</t>
  </si>
  <si>
    <t>Cauliflower</t>
  </si>
  <si>
    <t>257 (P)</t>
  </si>
  <si>
    <t>13036 (P)</t>
  </si>
  <si>
    <t>Peas</t>
  </si>
  <si>
    <t>Brinjal</t>
  </si>
  <si>
    <t>Onion</t>
  </si>
  <si>
    <t>Cucurbits</t>
  </si>
  <si>
    <t>Ladies Finger</t>
  </si>
  <si>
    <t>Radish</t>
  </si>
  <si>
    <t>Sub-Division / C.D.Block /  M</t>
  </si>
  <si>
    <t>3) Tea Board</t>
  </si>
  <si>
    <t>Production (Thousand tonnes)</t>
  </si>
  <si>
    <t>Production</t>
  </si>
  <si>
    <t>Rose</t>
  </si>
  <si>
    <t>Chrysanthemum</t>
  </si>
  <si>
    <t>Gladiolus</t>
  </si>
  <si>
    <t>Tuberose</t>
  </si>
  <si>
    <t>Marigold</t>
  </si>
  <si>
    <t>Jasmine</t>
  </si>
  <si>
    <t>Seasonal Flower</t>
  </si>
  <si>
    <t>Item</t>
  </si>
  <si>
    <t>Reserved forest</t>
  </si>
  <si>
    <t>Protected forest</t>
  </si>
  <si>
    <t>Sadar Sub-Div.</t>
  </si>
  <si>
    <t>Unclassed state forest</t>
  </si>
  <si>
    <t>Khas forest</t>
  </si>
  <si>
    <t>Forest owned by private individuals</t>
  </si>
  <si>
    <t>Oct 2006 - Mar 2007</t>
  </si>
  <si>
    <t xml:space="preserve">Loan Distributed </t>
  </si>
  <si>
    <t>Forest owned by corporate bodies</t>
  </si>
  <si>
    <t xml:space="preserve">Timber </t>
  </si>
  <si>
    <t>Fuel</t>
  </si>
  <si>
    <t>100pcs</t>
  </si>
  <si>
    <t>Pole</t>
  </si>
  <si>
    <t>Revenue</t>
  </si>
  <si>
    <t>Expenditure</t>
  </si>
  <si>
    <t>Tank</t>
  </si>
  <si>
    <t>HDTW</t>
  </si>
  <si>
    <t>MDTW</t>
  </si>
  <si>
    <t>LDTW</t>
  </si>
  <si>
    <t>2013-14</t>
  </si>
  <si>
    <t>Last 5 years</t>
  </si>
  <si>
    <t>Asstt. Sub-Inspector /
Asst. Sergeant</t>
  </si>
  <si>
    <t>Head Constable / 
Police Driver</t>
  </si>
  <si>
    <t>133*</t>
  </si>
  <si>
    <t>STW</t>
  </si>
  <si>
    <t>RLI</t>
  </si>
  <si>
    <t>ODW</t>
  </si>
  <si>
    <t>Sources:</t>
  </si>
  <si>
    <t>(Population in Number)</t>
  </si>
  <si>
    <t>Description of the Industry</t>
  </si>
  <si>
    <t>1) Lac Development Officer, Bankura</t>
  </si>
  <si>
    <t>Fruits :</t>
  </si>
  <si>
    <t>Vegetables :</t>
  </si>
  <si>
    <t>Oil Seeds :</t>
  </si>
  <si>
    <t>30.11.2010</t>
  </si>
  <si>
    <t>30.11.2011</t>
  </si>
  <si>
    <t>1940(E)</t>
  </si>
  <si>
    <t>1984(E)</t>
  </si>
  <si>
    <t>316.75.</t>
  </si>
  <si>
    <t>Miscellaneous crops :</t>
  </si>
  <si>
    <t>Capacity (MT)</t>
  </si>
  <si>
    <t>Cattle :</t>
  </si>
  <si>
    <t>Cows</t>
  </si>
  <si>
    <t>Young Stock</t>
  </si>
  <si>
    <t>Buffaloes :</t>
  </si>
  <si>
    <t>District Total   2011</t>
  </si>
  <si>
    <t>Sheeps</t>
  </si>
  <si>
    <t>Goats</t>
  </si>
  <si>
    <t>Pigs</t>
  </si>
  <si>
    <t>Fowls</t>
  </si>
  <si>
    <t>Ducks</t>
  </si>
  <si>
    <t xml:space="preserve">Indus </t>
  </si>
  <si>
    <t>-</t>
  </si>
  <si>
    <t>22/3</t>
  </si>
  <si>
    <t>Urban / Metropolitan</t>
  </si>
  <si>
    <t xml:space="preserve">Banking : </t>
  </si>
  <si>
    <t>(a) "Rural" includes all centres having population of 10,000 or less</t>
  </si>
  <si>
    <r>
      <t xml:space="preserve">                  -</t>
    </r>
    <r>
      <rPr>
        <sz val="10"/>
        <rFont val="Arial"/>
        <family val="2"/>
      </rPr>
      <t xml:space="preserve">        =</t>
    </r>
  </si>
  <si>
    <r>
      <t xml:space="preserve">                 ..</t>
    </r>
    <r>
      <rPr>
        <sz val="10"/>
        <rFont val="Arial"/>
        <family val="2"/>
      </rPr>
      <t xml:space="preserve">        =</t>
    </r>
  </si>
  <si>
    <t xml:space="preserve">                 P        =</t>
  </si>
  <si>
    <t xml:space="preserve">                 R        =</t>
  </si>
  <si>
    <t xml:space="preserve">                 I          =</t>
  </si>
  <si>
    <t xml:space="preserve">                 C        =</t>
  </si>
  <si>
    <t xml:space="preserve">                 E        =</t>
  </si>
  <si>
    <t xml:space="preserve">                 P.C.    =</t>
  </si>
  <si>
    <t xml:space="preserve">                 M.C.    =</t>
  </si>
  <si>
    <t xml:space="preserve">                 M        =</t>
  </si>
  <si>
    <t xml:space="preserve">                 O.G.    =</t>
  </si>
  <si>
    <t xml:space="preserve">                 C.T.     =</t>
  </si>
  <si>
    <t xml:space="preserve">                 N.A.     =</t>
  </si>
  <si>
    <t>Paddy(Aman fine)</t>
  </si>
  <si>
    <t>Qtl.</t>
  </si>
  <si>
    <t>Jhantipahari</t>
  </si>
  <si>
    <t>Paddy(Common)</t>
  </si>
  <si>
    <t>Rice(Common)</t>
  </si>
  <si>
    <t>Table No.</t>
  </si>
  <si>
    <t>(b) "Semi-urban" includes all centres with population over 10,000 and upto 1 lakh</t>
  </si>
  <si>
    <t>(c) "Urban" includes all centres with population over 1 lakh and upto 10 lakhs</t>
  </si>
  <si>
    <t>New Business</t>
  </si>
  <si>
    <r>
      <t xml:space="preserve">Amount disbursed 
</t>
    </r>
    <r>
      <rPr>
        <sz val="10"/>
        <rFont val="Arial Narrow"/>
        <family val="2"/>
      </rPr>
      <t>(in thousand rupees)</t>
    </r>
  </si>
  <si>
    <t>2) Direct. of Micro &amp; Small Scale Enterprises, Govt.of  West Bengal</t>
  </si>
  <si>
    <t>Density of Population</t>
  </si>
  <si>
    <r>
      <t xml:space="preserve">Percentage of Population </t>
    </r>
    <r>
      <rPr>
        <b/>
        <sz val="10"/>
        <rFont val="Arial"/>
        <family val="2"/>
      </rPr>
      <t>:</t>
    </r>
  </si>
  <si>
    <t>Percentage of Irrigated
area to Cultivated area</t>
  </si>
  <si>
    <t>Family Welfare Centres</t>
  </si>
  <si>
    <t>Registered Working Factories</t>
  </si>
  <si>
    <t>State Government Offices</t>
  </si>
  <si>
    <t>Ind. = Industry</t>
  </si>
  <si>
    <t>Scheduled Caste</t>
  </si>
  <si>
    <t>Scheduled Tribe</t>
  </si>
  <si>
    <t>(a) Medical (Allopathic, Dental, Homeopathic,
 Ayurvedic) Colleges</t>
  </si>
  <si>
    <r>
      <t>Recognized</t>
    </r>
    <r>
      <rPr>
        <b/>
        <u/>
        <sz val="10"/>
        <rFont val="Arial"/>
        <family val="2"/>
      </rPr>
      <t xml:space="preserve"> Primary Schools</t>
    </r>
    <r>
      <rPr>
        <b/>
        <sz val="10"/>
        <rFont val="Arial"/>
        <family val="2"/>
      </rPr>
      <t xml:space="preserve"> under the control
 of or of  the type of</t>
    </r>
  </si>
  <si>
    <r>
      <t>Recognized</t>
    </r>
    <r>
      <rPr>
        <b/>
        <u/>
        <sz val="10"/>
        <rFont val="Arial"/>
        <family val="2"/>
      </rPr>
      <t xml:space="preserve"> Middle Schools</t>
    </r>
    <r>
      <rPr>
        <b/>
        <sz val="10"/>
        <rFont val="Arial"/>
        <family val="2"/>
      </rPr>
      <t xml:space="preserve"> under the control
 of or of the type of</t>
    </r>
  </si>
  <si>
    <r>
      <t xml:space="preserve">Recognized </t>
    </r>
    <r>
      <rPr>
        <b/>
        <u/>
        <sz val="10"/>
        <rFont val="Arial"/>
        <family val="2"/>
      </rPr>
      <t>High Schools</t>
    </r>
    <r>
      <rPr>
        <b/>
        <sz val="10"/>
        <rFont val="Arial"/>
        <family val="2"/>
      </rPr>
      <t xml:space="preserve"> under the control
 of or of the type of</t>
    </r>
  </si>
  <si>
    <t>(b) Junior Govt. Polytechnics</t>
  </si>
  <si>
    <t>(a) Medical (Allopathic, Dental, Homeopathic, 
Ayurvedic) Colleges</t>
  </si>
  <si>
    <t>(b) Engineering Colleges (Govt.+ Private)</t>
  </si>
  <si>
    <t xml:space="preserve"> </t>
  </si>
  <si>
    <t>1st year's premium including 1st premium</t>
  </si>
  <si>
    <t>Employment</t>
  </si>
  <si>
    <t>Domestic</t>
  </si>
  <si>
    <t>Industrial</t>
  </si>
  <si>
    <t xml:space="preserve">Sub-Division / C.D.Block </t>
  </si>
  <si>
    <t>Cocoons production</t>
  </si>
  <si>
    <t>Public 
lighting</t>
  </si>
  <si>
    <t>Mulberry</t>
  </si>
  <si>
    <t>Tasar</t>
  </si>
  <si>
    <t>Eri</t>
  </si>
  <si>
    <t>Muga</t>
  </si>
  <si>
    <t>Sector</t>
  </si>
  <si>
    <t>Sectors</t>
  </si>
  <si>
    <t>Non-agricultural</t>
  </si>
  <si>
    <t>Combined</t>
  </si>
  <si>
    <t>Bankura</t>
  </si>
  <si>
    <t>Hired workers</t>
  </si>
  <si>
    <t>Occupational Group</t>
  </si>
  <si>
    <t>Industrial supervisory</t>
  </si>
  <si>
    <t>Clerical</t>
  </si>
  <si>
    <t>Category of
 police force</t>
  </si>
  <si>
    <t>Micro &amp; Small Scale Enterprises with corresponding Employment 
in the district of Bankura</t>
  </si>
  <si>
    <t>Educational</t>
  </si>
  <si>
    <t>All groups</t>
  </si>
  <si>
    <t>Fresh registration during the year</t>
  </si>
  <si>
    <t>Placement effected during the year</t>
  </si>
  <si>
    <t>Vacancies notified during the year</t>
  </si>
  <si>
    <t>On live-register at the end of the year</t>
  </si>
  <si>
    <t>Old-age assistance</t>
  </si>
  <si>
    <t>Recipients (No.)</t>
  </si>
  <si>
    <t>Sl.
No</t>
  </si>
  <si>
    <t>No. of
 Ferry
 Services</t>
  </si>
  <si>
    <t>Widow assistance</t>
  </si>
  <si>
    <t>Handicapped assistance</t>
  </si>
  <si>
    <t>Murder</t>
  </si>
  <si>
    <t>Dacoity</t>
  </si>
  <si>
    <t>Robbery</t>
  </si>
  <si>
    <t>Burglary</t>
  </si>
  <si>
    <t>Rioting</t>
  </si>
  <si>
    <t>Theft</t>
  </si>
  <si>
    <t>Offences Reported</t>
  </si>
  <si>
    <t>Cases Tried</t>
  </si>
  <si>
    <t>Persons Convicted</t>
  </si>
  <si>
    <t>Persons Acquitted</t>
  </si>
  <si>
    <t>TABLE : 17.1 (Concld.)</t>
  </si>
  <si>
    <t>Musur</t>
  </si>
  <si>
    <t>Department of Statistics &amp; Programme Implementation</t>
  </si>
  <si>
    <t xml:space="preserve"> Number of Live-stock and Poultry in the Blocks of Bankura 
(As per Livestock Census, 2007)</t>
  </si>
  <si>
    <t>1187*</t>
  </si>
  <si>
    <t>* As on 30th June</t>
  </si>
  <si>
    <t>Source : 18th All India Live Stock Census, 2007</t>
  </si>
  <si>
    <t>1
2</t>
  </si>
  <si>
    <t>Bankura-I
Bankura-II</t>
  </si>
  <si>
    <t>10
11</t>
  </si>
  <si>
    <t>Khatra
Hirbandh</t>
  </si>
  <si>
    <t>Hindus</t>
  </si>
  <si>
    <t>Muslims</t>
  </si>
  <si>
    <t>Christians</t>
  </si>
  <si>
    <t>Sikhs</t>
  </si>
  <si>
    <t>Buddhists</t>
  </si>
  <si>
    <t>Jains</t>
  </si>
  <si>
    <t>15
16</t>
  </si>
  <si>
    <t>Raipur
Sarenga</t>
  </si>
  <si>
    <t>Source : Census of India, 2001 &amp; 1991</t>
  </si>
  <si>
    <t>Name of 
Block</t>
  </si>
  <si>
    <t>No. of  Live-stock</t>
  </si>
  <si>
    <t>Name of
block</t>
  </si>
  <si>
    <t>2) Super / Director of the respective (L.S.G./Private) Hospitals, Bankura</t>
  </si>
  <si>
    <t xml:space="preserve">                SYMBOLS USED</t>
  </si>
  <si>
    <t>' 000 Rs.</t>
  </si>
  <si>
    <t>Gangajal Ghati</t>
  </si>
  <si>
    <t>No. of Medical Institutions in</t>
  </si>
  <si>
    <t>Establishments with hired workers</t>
  </si>
  <si>
    <t>Own Account Establishments</t>
  </si>
  <si>
    <t>3) Education cell under each Municipality/Local Body</t>
  </si>
  <si>
    <t>3) District Social Education Officer</t>
  </si>
  <si>
    <t>Scheduled 
Tribe</t>
  </si>
  <si>
    <t>Population
(Number)</t>
  </si>
  <si>
    <t>Rural Population</t>
  </si>
  <si>
    <t>Urban Population</t>
  </si>
  <si>
    <t>Note : Total Workers = Main workers + Marginal workers</t>
  </si>
  <si>
    <t>Population by religion and by sex in the district of Bankura, 2001</t>
  </si>
  <si>
    <t>Sub -centres</t>
  </si>
  <si>
    <t>Note : TT  = Tetanus Toxoid</t>
  </si>
  <si>
    <t>Total Tax 
Collected (Rs.)</t>
  </si>
  <si>
    <t>'000 hectares</t>
  </si>
  <si>
    <t>Hectare</t>
  </si>
  <si>
    <t>Thousand cu.metre</t>
  </si>
  <si>
    <t>8.4(a)</t>
  </si>
  <si>
    <t>Number of Factories, Production of Lac and Persons employed in Lac Industry</t>
  </si>
  <si>
    <t>Number of Factories, Production of Lac and Persons employed in Lac Industry 
in the district of Bankura</t>
  </si>
  <si>
    <t>No. of
 Factories</t>
  </si>
  <si>
    <t>Females employed</t>
  </si>
  <si>
    <t>Population by religion in the Blocks of Bankura</t>
  </si>
  <si>
    <t>Note : Area in hect., Production in Thousand MT. and Yield rate in  kg./ hect.</t>
  </si>
  <si>
    <t>Pradhan Mantri 
Gram Sadak Yojana</t>
  </si>
  <si>
    <t xml:space="preserve">Births &amp; Deaths in different Hospitals &amp; Health Centres </t>
  </si>
  <si>
    <t>Patients treated in Hospitals, Health Centres &amp; Sub-centres</t>
  </si>
  <si>
    <t>Institutions, Students &amp; Teachers by Block &amp; Municipality</t>
  </si>
  <si>
    <t>Index Numbers of Agricultural Area, Production and Productivity (Base:1981-82 = 100)</t>
  </si>
  <si>
    <t>Area, Production and Yield rates of Major Crops in the Blocks</t>
  </si>
  <si>
    <t>Estimated Number of Live-stock and Poultry in the Blocks</t>
  </si>
  <si>
    <t>Distribution of Operational Holdings over size-classes</t>
  </si>
  <si>
    <t>Distribution of Population by sex in different towns</t>
  </si>
  <si>
    <t xml:space="preserve">Length of Roads maintained by Municipalities </t>
  </si>
  <si>
    <t>Assistance to Old-aged Persons, Widows and Handicapped</t>
  </si>
  <si>
    <t>Progress of Statutory and Modified Ration Shops</t>
  </si>
  <si>
    <t>Post &amp; Telegraph Offices</t>
  </si>
  <si>
    <t>Strength of Police Force by category</t>
  </si>
  <si>
    <t>No. of fertilizer depots</t>
  </si>
  <si>
    <t>No. of fair price shops</t>
  </si>
  <si>
    <t>P.C. to total Popu-lation of the Block</t>
  </si>
  <si>
    <t xml:space="preserve"> Addl. Superintendent</t>
  </si>
  <si>
    <t xml:space="preserve"> Dy. Superintendent</t>
  </si>
  <si>
    <t>1160.00*</t>
  </si>
  <si>
    <t>No. of Tourists Staying in Tourist Lodge</t>
  </si>
  <si>
    <t xml:space="preserve"> No. of 
Vehicles</t>
  </si>
  <si>
    <t>No.of Trips
conducted</t>
  </si>
  <si>
    <t>Naik</t>
  </si>
  <si>
    <t>No. of mouzas
 having drinking
 water facilities</t>
  </si>
  <si>
    <t>No. of gram panchayat
 offices with 
telephone facilities</t>
  </si>
  <si>
    <t xml:space="preserve">(1) B.D.O.s, Bankura </t>
  </si>
  <si>
    <t>(2) A.D.O.s, Bankura</t>
  </si>
  <si>
    <t xml:space="preserve">(3) Dist. Agri. Marketing Office, Bankura  </t>
  </si>
  <si>
    <t>* As per Agricultural Census (2010-11)</t>
  </si>
  <si>
    <t>Agricultural Census (2010-11), W.B.</t>
  </si>
  <si>
    <t>B.L. &amp; L.R.O.s, Bankura</t>
  </si>
  <si>
    <t>1) Directorate of  Agri., Govt. of W.B.</t>
  </si>
  <si>
    <t>2) B. A. E. &amp; S., Govt. of W.B.</t>
  </si>
  <si>
    <t>2) Exe. Engr. (Agri. Irri.), Bankura</t>
  </si>
  <si>
    <t>3) Exe. Engr. (Agri. Mech.), Bankura</t>
  </si>
  <si>
    <t>Approx. annual production 
(qtl.)</t>
  </si>
  <si>
    <t>Registered Working Factories (Daily Average)</t>
  </si>
  <si>
    <t>Distance of the nearest
 Rly. Stn. from the Block H.Q.
(K.M.)</t>
  </si>
  <si>
    <t>Source : All Block Development Offices, Bankura</t>
  </si>
  <si>
    <t>Gangajal-ghati</t>
  </si>
  <si>
    <t>Mean Maximum and Mean Minimum Temperature by month</t>
  </si>
  <si>
    <t>Public Libraries, Reading Rooms and Mass Literacy Centres</t>
  </si>
  <si>
    <t>Classification of Land Utilization Statistics</t>
  </si>
  <si>
    <t>Area of Vested Agricultural Land distributed &amp; Number of Beneficiaries</t>
  </si>
  <si>
    <t>General Educational Institutions by type</t>
  </si>
  <si>
    <t>Professional &amp; Technical Educational Institutions by type</t>
  </si>
  <si>
    <t>Other
 Departments of 
Govt. of West
 Bengal including 
State Govt. 
Undertaking</t>
  </si>
  <si>
    <t xml:space="preserve"> Govt. of India
 including 
Central  Govt.
 Undertaking</t>
  </si>
  <si>
    <t>Total deliveries
 performed</t>
  </si>
  <si>
    <t>Reporting
 Area</t>
  </si>
  <si>
    <t>Source : Asstt. Director of Agri. Marketing Office, Bankura</t>
  </si>
  <si>
    <t>Forest
 Area</t>
  </si>
  <si>
    <t>Prod. = Production</t>
  </si>
  <si>
    <t xml:space="preserve">Special &amp; Non-formal Educational Institutions by type </t>
  </si>
  <si>
    <t xml:space="preserve">      The present issue of the District Statistical Handbook seeks to provide statistical information on various socio-economic aspects of the district in a compact form. Attempts have been made to incorporate up-to-date information so that continuity of the time series of the data published in earlier issues is maintained. Data at the Block level have also been incorporated as far as available, so that those could be effectively used by planners, policymakers and researchers.
       I express my gratitude to the different offices situated in the district for active co-operation received from their end in timely supply of data. I like to put in my appreciation to the officials of the Handbook, Co-ordination &amp; Nucleus (Compilation) units of the Head Office and  District  office of the Bureau of Applied Economics &amp;   Statistics for their sincere and sustained effort in bringing out the publication.
      Suggestions for any improvement of the publication will be highly appreciated. </t>
  </si>
  <si>
    <t>per Sq. Km.</t>
  </si>
  <si>
    <t>Blocks</t>
  </si>
  <si>
    <t xml:space="preserve">Literacy Officers, All Blocks &amp; Municipalities, </t>
  </si>
  <si>
    <t>District Library, Bankura</t>
  </si>
  <si>
    <t xml:space="preserve">* Irrigation suffered due to
severe drought situation </t>
  </si>
  <si>
    <r>
      <t>Average population per office</t>
    </r>
    <r>
      <rPr>
        <vertAlign val="superscript"/>
        <sz val="10"/>
        <rFont val="Arial Narrow"/>
        <family val="2"/>
      </rPr>
      <t>#</t>
    </r>
    <r>
      <rPr>
        <sz val="10"/>
        <rFont val="Arial Narrow"/>
        <family val="2"/>
      </rPr>
      <t xml:space="preserve"> (in thousand)</t>
    </r>
  </si>
  <si>
    <t>AIC 
(Including
 Pranibandhu &amp; 
Co-operatives)</t>
  </si>
  <si>
    <t>Semi-urban</t>
  </si>
  <si>
    <t>Amount of loan 
(Rs. in thousand)</t>
  </si>
  <si>
    <t>Railway
 Traction &amp; 
Non-traction</t>
  </si>
  <si>
    <t>(Thousand K.W.H)</t>
  </si>
  <si>
    <t>Production of Lac from 
Raw Materials
(Thousand tonnes)</t>
  </si>
  <si>
    <t>No. of Co-operative 
Societies</t>
  </si>
  <si>
    <t>Area &amp; Production of Fruits and Vegetables</t>
  </si>
  <si>
    <t>Classification of Forest Area,Out-turn of Forest Produce, Revenue &amp; Expenditure</t>
  </si>
  <si>
    <t>Length of Roads maintained by P.W.D., Zilla Parishad &amp; Panchayat</t>
  </si>
  <si>
    <t>Veterinary Hospitals, Veterinary Personnel &amp; Cases treated</t>
  </si>
  <si>
    <t>Scheduled Caste and Scheduled Tribe Population by sex</t>
  </si>
  <si>
    <t>4) District Social Welfare Officer</t>
  </si>
  <si>
    <t>6) Education cell under Zilla Parishad</t>
  </si>
  <si>
    <t>9.</t>
  </si>
  <si>
    <t>10.</t>
  </si>
  <si>
    <t>11.</t>
  </si>
  <si>
    <t>Date of Establishment</t>
  </si>
  <si>
    <t>PREFACE</t>
  </si>
  <si>
    <t>Dated, Kolkata</t>
  </si>
  <si>
    <t xml:space="preserve">Primary Health Centres  </t>
  </si>
  <si>
    <t>Bureau of Applied Economics &amp; Statistics</t>
  </si>
  <si>
    <t xml:space="preserve">   Government of West Bengal</t>
  </si>
  <si>
    <t>Land Revenue</t>
  </si>
  <si>
    <t>Excise Revenue</t>
  </si>
  <si>
    <t>Taxes on Vehicles</t>
  </si>
  <si>
    <t>Electricity Duty</t>
  </si>
  <si>
    <t>Entertain-
ment Tax</t>
  </si>
  <si>
    <t>Commodity</t>
  </si>
  <si>
    <t>Market</t>
  </si>
  <si>
    <t>Principal Market Yard</t>
  </si>
  <si>
    <t>8) Each Tol</t>
  </si>
  <si>
    <t xml:space="preserve">Month </t>
  </si>
  <si>
    <t>Annual average</t>
  </si>
  <si>
    <t>Modified ration shop</t>
  </si>
  <si>
    <t>(Kilometre)</t>
  </si>
  <si>
    <t>P.W.D.</t>
  </si>
  <si>
    <t>Zilla Parishad</t>
  </si>
  <si>
    <t xml:space="preserve">District Total </t>
  </si>
  <si>
    <t xml:space="preserve">           PC to TW = Percentage to respective total workers</t>
  </si>
  <si>
    <t>Revenue collected from different sources</t>
  </si>
  <si>
    <t>Gram Panchayat &amp; Panchayat Samity</t>
  </si>
  <si>
    <t>National Highways</t>
  </si>
  <si>
    <t>State Highways</t>
  </si>
  <si>
    <t>District Roads</t>
  </si>
  <si>
    <t>Village Roads</t>
  </si>
  <si>
    <t>Bishnupur (M)</t>
  </si>
  <si>
    <t>Sonamukhi (M)</t>
  </si>
  <si>
    <t>Note : After the  introduction of the
 Micro, Small &amp; Medium Enterprises
 Development Act in October,2006
 the registration system has been abolished.</t>
  </si>
  <si>
    <t>2009-10</t>
  </si>
  <si>
    <t>1) Directorate of  Small Scale Industries,
 Govt. of  West Bengal</t>
  </si>
  <si>
    <t>Goods Vehicles</t>
  </si>
  <si>
    <t>Motor cycle &amp; Scooter</t>
  </si>
  <si>
    <t>Taxi &amp; Contract Carriage</t>
  </si>
  <si>
    <t>Auto Rickshaw</t>
  </si>
  <si>
    <t>(d) "Metropolitan" includes all centres with population over 10 lakhs</t>
  </si>
  <si>
    <t>Commercial</t>
  </si>
  <si>
    <t>Statutory ration shop</t>
  </si>
  <si>
    <t>.</t>
  </si>
  <si>
    <t>1991*</t>
  </si>
  <si>
    <t xml:space="preserve">Barjora </t>
  </si>
  <si>
    <t>(23)</t>
  </si>
  <si>
    <t>(24)</t>
  </si>
  <si>
    <t>Fibres : *</t>
  </si>
  <si>
    <t>Name
 of 
Block</t>
  </si>
  <si>
    <t>Fibres :  *</t>
  </si>
  <si>
    <t>Rapeseed &amp; Mustard</t>
  </si>
  <si>
    <t>Vested waste land</t>
  </si>
  <si>
    <t>Cold Storages</t>
  </si>
  <si>
    <t>Milk (Thousand tonnes)</t>
  </si>
  <si>
    <t>Egg (Number in thousand)</t>
  </si>
  <si>
    <t>Bulls and Bullocks</t>
  </si>
  <si>
    <t>Total Cattle</t>
  </si>
  <si>
    <t>Total Buffaloes</t>
  </si>
  <si>
    <t>Sheep</t>
  </si>
  <si>
    <t>Other Live-stock</t>
  </si>
  <si>
    <t>Total Live-stock</t>
  </si>
  <si>
    <t>Total Poultry</t>
  </si>
  <si>
    <t>Agricultural Credit Societies :-</t>
  </si>
  <si>
    <t>Non-Agricultural Credit Societies :-</t>
  </si>
  <si>
    <t>Non-Credit Societies :-</t>
  </si>
  <si>
    <t>Horses and Ponies</t>
  </si>
  <si>
    <t>1. Registered Factories ( Registered under Factory Act )</t>
  </si>
  <si>
    <t>No. of accidents
occurred</t>
  </si>
  <si>
    <t>Sales 
Tax</t>
  </si>
  <si>
    <t>Stamp 
Revenue &amp; 
Registration 
Fees</t>
  </si>
  <si>
    <t>No. of Tourist Lodges (Govt.)</t>
  </si>
  <si>
    <t>Police Stations</t>
  </si>
  <si>
    <t>Out-posts</t>
  </si>
  <si>
    <t>Collection</t>
  </si>
  <si>
    <t>Popu-lation</t>
  </si>
  <si>
    <t xml:space="preserve">Popu-
lation </t>
  </si>
  <si>
    <t>Small
farmers*</t>
  </si>
  <si>
    <t>Marginal
farmers*</t>
  </si>
  <si>
    <t xml:space="preserve"> Til</t>
  </si>
  <si>
    <t xml:space="preserve">During the year </t>
  </si>
  <si>
    <t xml:space="preserve">Upto the year </t>
  </si>
  <si>
    <t>Directorate of Micro &amp; Small Scale Enterprises, Govt. of W.B.</t>
  </si>
  <si>
    <t xml:space="preserve">Sub-Division
 / C.D.Block </t>
  </si>
  <si>
    <t>a) working factories</t>
  </si>
  <si>
    <t>b) average daily employment</t>
  </si>
  <si>
    <t xml:space="preserve">
2.</t>
  </si>
  <si>
    <t>Chief Inspector of Factories, Govt. of  W.B.</t>
  </si>
  <si>
    <t>B.A.E.&amp; S., Govt. of  W.B.</t>
  </si>
  <si>
    <t>Super / Director of the respective</t>
  </si>
  <si>
    <t>(L.S.G./Private) Hospitals, Bankura</t>
  </si>
  <si>
    <t>Source : District Information &amp; Cultural Officer, Bankura</t>
  </si>
  <si>
    <t>Source : Directorate of Agriculture (Evaluation), Govt. of W. B.</t>
  </si>
  <si>
    <t>Source : Agricultural Census, W.B.</t>
  </si>
  <si>
    <t>Source : Land &amp; Land Reforms Deptt., Govt. of W.B.</t>
  </si>
  <si>
    <t>Directorate of Agriculture, Govt. of W.B.</t>
  </si>
  <si>
    <t>Govt. of W.B.</t>
  </si>
  <si>
    <t>Bureau of Applied Economics &amp; Statistics,</t>
  </si>
  <si>
    <t>Source : Bureau of Applied Economics &amp; Statistics, Govt. of  W.B.</t>
  </si>
  <si>
    <t>All crops combined</t>
  </si>
  <si>
    <t>Source : Directorate of Food Processing Industries and Horticulture, Govt.of  W.B.</t>
  </si>
  <si>
    <t>Source : Directorate of Food Processing Industries and Horticulture, Govt. of W.B.</t>
  </si>
  <si>
    <t>3) P.A.O., Bankura</t>
  </si>
  <si>
    <t>3) Irrigation and Waterways Directorate, Govt. of W.B.</t>
  </si>
  <si>
    <t>Source : As in Table No. 4.1(a), 4.1(b), 4.1(c)</t>
  </si>
  <si>
    <t>Divisional Forest Officer, (South+North), Bankura</t>
  </si>
  <si>
    <t>Source : Directorate of Animal Resources &amp; Animal Health, Govt. of  W. B.</t>
  </si>
  <si>
    <t>Source : Employment Exchanges of Bankura, Bishnupur and Khatra</t>
  </si>
  <si>
    <t>1)Dy. Chief Medical officer of Health-II</t>
  </si>
  <si>
    <t>Source :  Employment Exchanges of Bankura, Bishnupur and Khatra</t>
  </si>
  <si>
    <t>5)</t>
  </si>
  <si>
    <t>District Industries Centre, Bankura</t>
  </si>
  <si>
    <t>Panchayat &amp; Rural Development Officer,</t>
  </si>
  <si>
    <t>Handloom Dev. Officer, Bankura</t>
  </si>
  <si>
    <t>Rural Hospitals</t>
  </si>
  <si>
    <t xml:space="preserve">Block Primary Health Centres  </t>
  </si>
  <si>
    <t>Other Departments of Govt. of West Bengal including State Govt. Undertaking</t>
  </si>
  <si>
    <t>Local Bodies</t>
  </si>
  <si>
    <t xml:space="preserve"> Govt. of India including Central  Govt. Undertaking</t>
  </si>
  <si>
    <t>No. of
 Members</t>
  </si>
  <si>
    <t>(25)</t>
  </si>
  <si>
    <t>(26)</t>
  </si>
  <si>
    <t>(27)</t>
  </si>
  <si>
    <t>(28)</t>
  </si>
  <si>
    <t>(29)</t>
  </si>
  <si>
    <t>(30)</t>
  </si>
  <si>
    <t>(31)</t>
  </si>
  <si>
    <t>(32)</t>
  </si>
  <si>
    <t>(33)</t>
  </si>
  <si>
    <t>(34)</t>
  </si>
  <si>
    <t>(35)</t>
  </si>
  <si>
    <t xml:space="preserve">Registered Factories  (C)
(Registered under Factory Act)
(as on 31st December)
</t>
  </si>
  <si>
    <t>As on</t>
  </si>
  <si>
    <t>31.10.2010</t>
  </si>
  <si>
    <t>16.12.2013</t>
  </si>
  <si>
    <t>(36)</t>
  </si>
  <si>
    <t>(38)</t>
  </si>
  <si>
    <t>(37)</t>
  </si>
  <si>
    <t>(39)</t>
  </si>
  <si>
    <t>(40)</t>
  </si>
  <si>
    <t>(41)</t>
  </si>
  <si>
    <t>(42)</t>
  </si>
  <si>
    <t>(43)</t>
  </si>
  <si>
    <t>(44)</t>
  </si>
  <si>
    <t>Stage Carriage</t>
  </si>
  <si>
    <t>BLOCK LEVEL STATISTICS</t>
  </si>
  <si>
    <t>No.of seed stores</t>
  </si>
  <si>
    <t>SL.No.</t>
  </si>
  <si>
    <t>P.C to total Popu-lation of the Block</t>
  </si>
  <si>
    <t xml:space="preserve">        (Number)</t>
  </si>
  <si>
    <t>Sl.</t>
  </si>
  <si>
    <t>Bargadars</t>
  </si>
  <si>
    <t>TECHNICAL SCHOOLS</t>
  </si>
  <si>
    <t>TECHNICAL COLLEGES</t>
  </si>
  <si>
    <t>TECHNICAL UNIVERSITIES</t>
  </si>
  <si>
    <t>District Total</t>
  </si>
  <si>
    <t>Maskalai</t>
  </si>
  <si>
    <t>Mustard</t>
  </si>
  <si>
    <t>Linseed</t>
  </si>
  <si>
    <t>Prod.</t>
  </si>
  <si>
    <t>Yield</t>
  </si>
  <si>
    <t>Prod.*</t>
  </si>
  <si>
    <t>Yield**</t>
  </si>
  <si>
    <t>Area</t>
  </si>
  <si>
    <t>Buffaloes</t>
  </si>
  <si>
    <t>Poultry Birds</t>
  </si>
  <si>
    <t xml:space="preserve"> Source : Asstt. Registrar of Co-operative Societies, Bankura </t>
  </si>
  <si>
    <t xml:space="preserve">Bankura-I    </t>
  </si>
  <si>
    <t>Small :</t>
  </si>
  <si>
    <t>Semi-medium :</t>
  </si>
  <si>
    <t>Medium :</t>
  </si>
  <si>
    <t>Large :</t>
  </si>
  <si>
    <t>*  Fresh loan during the year</t>
  </si>
  <si>
    <t>Betel Leaf</t>
  </si>
  <si>
    <t>Posto</t>
  </si>
  <si>
    <t>' 000 KWH</t>
  </si>
  <si>
    <t>Number of Bank offices</t>
  </si>
  <si>
    <t>Mini
 Bus</t>
  </si>
  <si>
    <t>Motor car
 &amp; Jeep</t>
  </si>
  <si>
    <t>Gramin Bank</t>
  </si>
  <si>
    <t>Unsurfaced</t>
  </si>
  <si>
    <t>District:-</t>
  </si>
  <si>
    <t>Number of</t>
  </si>
  <si>
    <t>Sl.  No.</t>
  </si>
  <si>
    <t>Year 
(as on 31st March)</t>
  </si>
  <si>
    <t>2.1(a)</t>
  </si>
  <si>
    <t>2.4(a)</t>
  </si>
  <si>
    <t>2.4(b)</t>
  </si>
  <si>
    <t>2.5(a)</t>
  </si>
  <si>
    <t>Patta
holders</t>
  </si>
  <si>
    <t>2.1(b)</t>
  </si>
  <si>
    <t>(Thousand rupees)</t>
  </si>
  <si>
    <t>Sub-Division / 
C.D.Block / M</t>
  </si>
  <si>
    <t>Mass Literacy Centre (Continuing Education Programme)</t>
  </si>
  <si>
    <t>Sub-Division / 
C.D.Block /  M</t>
  </si>
  <si>
    <t>Cases 
treated</t>
  </si>
  <si>
    <t>Gram Panchayat &amp; 
Panchayat Samity</t>
  </si>
  <si>
    <t>Canal Area</t>
  </si>
  <si>
    <t>TABLE 21.2</t>
  </si>
  <si>
    <t>TABLE 21.1</t>
  </si>
  <si>
    <t xml:space="preserve"> TABLE 20.2</t>
  </si>
  <si>
    <t>TABLE 20.1</t>
  </si>
  <si>
    <t>TABLE 19.1</t>
  </si>
  <si>
    <t>TABLE 18.3</t>
  </si>
  <si>
    <t>TABLE 18.2</t>
  </si>
  <si>
    <t>TABLE 18.1</t>
  </si>
  <si>
    <t>TABLE 18.1( Concld.)</t>
  </si>
  <si>
    <t>TABLE 17.2</t>
  </si>
  <si>
    <t>TABLE 17.1</t>
  </si>
  <si>
    <t>Source : Census of India, 2011</t>
  </si>
  <si>
    <t>TABLE 16.1</t>
  </si>
  <si>
    <t>TABLE 11.3</t>
  </si>
  <si>
    <t>TABLE 11.4</t>
  </si>
  <si>
    <t xml:space="preserve">TABLE 12.1 </t>
  </si>
  <si>
    <t>TABLE 12.2</t>
  </si>
  <si>
    <t>TABLE 12.3</t>
  </si>
  <si>
    <t>TABLE 12.4</t>
  </si>
  <si>
    <t>TABLE 11.2</t>
  </si>
  <si>
    <t>TABLE 11.1(a)</t>
  </si>
  <si>
    <t>TABLE 11.1</t>
  </si>
  <si>
    <t>TABLE  11.1 (Concld.)</t>
  </si>
  <si>
    <t>TABLE 10.3</t>
  </si>
  <si>
    <t>TABLE 10.1</t>
  </si>
  <si>
    <t>TABLE 10.2</t>
  </si>
  <si>
    <t>TABLE 9.2(a)</t>
  </si>
  <si>
    <t>TABLE 9.2(b)</t>
  </si>
  <si>
    <t>TABLE 9.1</t>
  </si>
  <si>
    <t>TABLE 9.2</t>
  </si>
  <si>
    <t>TABLE 8.4</t>
  </si>
  <si>
    <t>TABLE 8.4(a)</t>
  </si>
  <si>
    <t>TABLE 8.3</t>
  </si>
  <si>
    <t>TABLE 8.2(a)</t>
  </si>
  <si>
    <t>TABLE 4.6</t>
  </si>
  <si>
    <t xml:space="preserve">                                  TABLE 4.4 (Concld.)</t>
  </si>
  <si>
    <t>TABLE 4.3(c)</t>
  </si>
  <si>
    <t>TABLE 4.3(b)</t>
  </si>
  <si>
    <t>TABLE 4.3(a)</t>
  </si>
  <si>
    <t>TABLE 4.2(c)</t>
  </si>
  <si>
    <t>TABLE 4.2(b)</t>
  </si>
  <si>
    <t>TABLE 4.2(a)</t>
  </si>
  <si>
    <t>TABLE 4.1(c)</t>
  </si>
  <si>
    <t>No. of Deaths</t>
  </si>
  <si>
    <t>TABLE 4.1(b)</t>
  </si>
  <si>
    <t>TABLE 4.1(a)</t>
  </si>
  <si>
    <t>TABLE  3.3(a)</t>
  </si>
  <si>
    <t>TABLE  3.3</t>
  </si>
  <si>
    <t>TABLE 3.2(a)</t>
  </si>
  <si>
    <t>TABLE 3.2</t>
  </si>
  <si>
    <t>TABLE 3.1</t>
  </si>
  <si>
    <t>TABLE  2.11</t>
  </si>
  <si>
    <t>TABLE 2.9</t>
  </si>
  <si>
    <t>TABLE 2.10</t>
  </si>
  <si>
    <t>TABLE 2.8</t>
  </si>
  <si>
    <t>TABLE 2.7</t>
  </si>
  <si>
    <t>TABLE 2.6</t>
  </si>
  <si>
    <t>TABLE 2.5(b)</t>
  </si>
  <si>
    <t>TABLE 2.5(a)</t>
  </si>
  <si>
    <t>TABLE 2.4(b)</t>
  </si>
  <si>
    <t>TABLE 2.4(a)</t>
  </si>
  <si>
    <t>TABLE 2.2</t>
  </si>
  <si>
    <t>TABLE 2.1(a)</t>
  </si>
  <si>
    <t>TABLE 2.1</t>
  </si>
  <si>
    <t>TABLE 1.3</t>
  </si>
  <si>
    <t>TABLE 1.4</t>
  </si>
  <si>
    <t>TABLE 1.1</t>
  </si>
  <si>
    <t>TABLE 1.2</t>
  </si>
  <si>
    <t>Rice(Aman fine)</t>
  </si>
  <si>
    <t>Gur (Cane )</t>
  </si>
  <si>
    <t>TABLE 12.7</t>
  </si>
  <si>
    <t>Name of 
Sub-division</t>
  </si>
  <si>
    <t>2005-06</t>
  </si>
  <si>
    <t>(d) Industrial Training Centres ( ITC)</t>
  </si>
  <si>
    <t>(e) Autonomous Research Institutions of 
     Special Importance</t>
  </si>
  <si>
    <t>Jan Shikshan Sansthan</t>
  </si>
  <si>
    <t>Notes:</t>
  </si>
  <si>
    <t>1) Marginal farmer possesses agricultural
    land measuring upto 1 hectare</t>
  </si>
  <si>
    <t>Name
 of Block</t>
  </si>
  <si>
    <t>Fowl</t>
  </si>
  <si>
    <t>Duck</t>
  </si>
  <si>
    <t>1</t>
  </si>
  <si>
    <t>Number of 
Cinema House</t>
  </si>
  <si>
    <t>2008</t>
  </si>
  <si>
    <t>HANDBOOK FOR THE YEAR</t>
  </si>
  <si>
    <t>Sitting Capacity 
(Number)</t>
  </si>
  <si>
    <t>2.5(b)</t>
  </si>
  <si>
    <t>Centre : Bankura</t>
  </si>
  <si>
    <t>Municipal Corp.</t>
  </si>
  <si>
    <t xml:space="preserve"> Source : Census of India, 2001</t>
  </si>
  <si>
    <t>2.10(a)</t>
  </si>
  <si>
    <t>31.10.2013 (P)</t>
  </si>
  <si>
    <t>Beliatore</t>
  </si>
  <si>
    <t>M</t>
  </si>
  <si>
    <t>6/2</t>
  </si>
  <si>
    <t>8/0</t>
  </si>
  <si>
    <t>Khesari</t>
  </si>
  <si>
    <t>3.2(a)</t>
  </si>
  <si>
    <t>1.2</t>
  </si>
  <si>
    <t>1.1</t>
  </si>
  <si>
    <t>1.3</t>
  </si>
  <si>
    <t>1.4</t>
  </si>
  <si>
    <t>2.1</t>
  </si>
  <si>
    <t>2.2</t>
  </si>
  <si>
    <t>2.3</t>
  </si>
  <si>
    <t>2.6</t>
  </si>
  <si>
    <t>2.7</t>
  </si>
  <si>
    <t>2.8</t>
  </si>
  <si>
    <t>2.9</t>
  </si>
  <si>
    <t>2.10</t>
  </si>
  <si>
    <t>2.11</t>
  </si>
  <si>
    <t>3.1</t>
  </si>
  <si>
    <t>3.2</t>
  </si>
  <si>
    <t>3.3</t>
  </si>
  <si>
    <t>Panchayat Samity</t>
  </si>
  <si>
    <t>' 000 Hectares</t>
  </si>
  <si>
    <t>Centre : Bankura-Medinipur</t>
  </si>
  <si>
    <t>Current Calendar Year</t>
  </si>
  <si>
    <t xml:space="preserve">No. of persons
 engaged in
 the profession </t>
  </si>
  <si>
    <t>Net area available
 for pisciculture
(hect.)</t>
  </si>
  <si>
    <t>Net area under
 effective pisciculture
(hect.)</t>
  </si>
  <si>
    <t>Assistance to
needy fishermen
('000 Rs.)</t>
  </si>
  <si>
    <t xml:space="preserve"> Source : Census of India, 2011</t>
  </si>
  <si>
    <t xml:space="preserve">Jhanti Pahari </t>
  </si>
  <si>
    <t xml:space="preserve">Ghutgarya </t>
  </si>
  <si>
    <t xml:space="preserve">Simlapal </t>
  </si>
  <si>
    <t xml:space="preserve">Ledisol </t>
  </si>
  <si>
    <t xml:space="preserve">Khatra </t>
  </si>
  <si>
    <t xml:space="preserve">Raipur Bazar </t>
  </si>
  <si>
    <t xml:space="preserve">Kotulpur </t>
  </si>
  <si>
    <t>2 / 1</t>
  </si>
  <si>
    <t>1 / 4</t>
  </si>
  <si>
    <t>3 / 9</t>
  </si>
  <si>
    <t>* One was not functioning</t>
  </si>
  <si>
    <t>Others*</t>
  </si>
  <si>
    <t>Estimated  Number of Live-stock and Poultry in the Blocks of Bankura 
For the year 2013-14</t>
  </si>
  <si>
    <t>Area, Production and Yield rates of Major Crops in the Blocks of Bankura for the year 2013-14</t>
  </si>
  <si>
    <t>Source : Economic Census, 2005 &amp; 2013</t>
  </si>
  <si>
    <t>27</t>
  </si>
  <si>
    <t>Manufacture of electrical equipment</t>
  </si>
  <si>
    <t>Selected Characteristics of Factories by industry group  in the district of Bankura for the year 2011-12</t>
  </si>
  <si>
    <t>Tapas Kumar Debnath</t>
  </si>
  <si>
    <t>I. LOCATION, RAINFALL AND CLIMATE (4 tables)</t>
  </si>
  <si>
    <t>II. AREA AND POPULATION (16 tables)</t>
  </si>
  <si>
    <t>III. PUBLIC HEALTH (5 tables)</t>
  </si>
  <si>
    <t>IV. EDUCATION AND CULTURE (14 tables)</t>
  </si>
  <si>
    <t>VI. LIVE-STOCK (2 tables)</t>
  </si>
  <si>
    <t>VII. CO-OPERATIVE, BANKING &amp; INSURANCE (3 tables)</t>
  </si>
  <si>
    <t>IX. EMPLOYMENT AND LABOUR (4 tables)</t>
  </si>
  <si>
    <t>X. EMPLOYMENT EXCHANGE AND SOCIAL SERVICE (3 tables)</t>
  </si>
  <si>
    <t>XI. PRICE (5 tables)</t>
  </si>
  <si>
    <t>XII. TRANSPORT AND COMMUNICATION (7 tables)</t>
  </si>
  <si>
    <t>XIII. JUDICIAL AND POLICE (3 tables)</t>
  </si>
  <si>
    <t>XIV. LOCAL-BODIES (2 tables)</t>
  </si>
  <si>
    <t>XV. FINANCE (2 tables)</t>
  </si>
  <si>
    <t>BLOCK LEVEL STATISTICS (11 tables)</t>
  </si>
  <si>
    <t>V. AGRICULTURE &amp; ALLIED SECTORS (16 tables)</t>
  </si>
  <si>
    <t>VIII. INDUSTRY (6 tables)</t>
  </si>
  <si>
    <t xml:space="preserve">N.B. Length of Unsurfaced roads in respect of Zilla Parishad decreased, due to the same has been sufaced under </t>
  </si>
  <si>
    <t>PMGSY &amp; some handed over to Block / Panchayat Samity for maintenance.</t>
  </si>
  <si>
    <t>Source : Dy. Director of Small Savings, Bankura</t>
  </si>
  <si>
    <t>260 (P)</t>
  </si>
  <si>
    <t>13211 (P)</t>
  </si>
  <si>
    <t xml:space="preserve">
Employment in 
State Government  Offices 
(as on 31st January)</t>
  </si>
  <si>
    <t>Surfaced Road</t>
  </si>
  <si>
    <t>Un-surfaced Road</t>
  </si>
  <si>
    <t>As on 31.01.2014</t>
  </si>
  <si>
    <t xml:space="preserve">* Figures relate to Pigs only                   </t>
  </si>
  <si>
    <t>31.12.2014</t>
  </si>
  <si>
    <t>Education :</t>
  </si>
  <si>
    <t>Literates : Male</t>
  </si>
  <si>
    <t xml:space="preserve">                Female</t>
  </si>
  <si>
    <t xml:space="preserve">                Total</t>
  </si>
  <si>
    <t>CC : Conventional Contraceptive</t>
  </si>
  <si>
    <t>OP : Oral Pill</t>
  </si>
  <si>
    <t>MTP : Medical Termination of Pregnancy</t>
  </si>
  <si>
    <t>1918(R)</t>
  </si>
  <si>
    <t>30.11.2009</t>
  </si>
  <si>
    <t>The 23rd June, 2016</t>
  </si>
</sst>
</file>

<file path=xl/styles.xml><?xml version="1.0" encoding="utf-8"?>
<styleSheet xmlns="http://schemas.openxmlformats.org/spreadsheetml/2006/main">
  <numFmts count="3">
    <numFmt numFmtId="43" formatCode="_(* #,##0.00_);_(* \(#,##0.00\);_(* &quot;-&quot;??_);_(@_)"/>
    <numFmt numFmtId="164" formatCode="0.0"/>
    <numFmt numFmtId="165" formatCode="0.000"/>
  </numFmts>
  <fonts count="103">
    <font>
      <sz val="10"/>
      <name val="Arial"/>
    </font>
    <font>
      <sz val="10"/>
      <name val="Arial"/>
      <family val="2"/>
    </font>
    <font>
      <b/>
      <sz val="10"/>
      <name val="Arial"/>
      <family val="2"/>
    </font>
    <font>
      <sz val="10"/>
      <name val="Arial"/>
      <family val="2"/>
    </font>
    <font>
      <u/>
      <sz val="10"/>
      <color indexed="12"/>
      <name val="Arial"/>
      <family val="2"/>
    </font>
    <font>
      <b/>
      <sz val="10"/>
      <name val="Arial Narrow"/>
      <family val="2"/>
    </font>
    <font>
      <sz val="10"/>
      <name val="Arial Narrow"/>
      <family val="2"/>
    </font>
    <font>
      <sz val="9"/>
      <name val="Arial"/>
      <family val="2"/>
    </font>
    <font>
      <sz val="8"/>
      <name val="Arial"/>
      <family val="2"/>
    </font>
    <font>
      <b/>
      <u/>
      <sz val="10"/>
      <name val="Arial"/>
      <family val="2"/>
    </font>
    <font>
      <u/>
      <sz val="10"/>
      <name val="Arial"/>
      <family val="2"/>
    </font>
    <font>
      <sz val="10"/>
      <color indexed="10"/>
      <name val="Arial"/>
      <family val="2"/>
    </font>
    <font>
      <sz val="18"/>
      <color indexed="53"/>
      <name val="Times New Roman"/>
      <family val="1"/>
    </font>
    <font>
      <sz val="12"/>
      <color indexed="17"/>
      <name val="Times New Roman"/>
      <family val="1"/>
    </font>
    <font>
      <b/>
      <sz val="14"/>
      <name val="Arial"/>
      <family val="2"/>
    </font>
    <font>
      <b/>
      <u/>
      <sz val="14"/>
      <name val="Arial"/>
      <family val="2"/>
    </font>
    <font>
      <b/>
      <sz val="36"/>
      <color indexed="10"/>
      <name val="Arial"/>
      <family val="2"/>
    </font>
    <font>
      <b/>
      <sz val="28"/>
      <color indexed="17"/>
      <name val="Arial Narrow"/>
      <family val="2"/>
    </font>
    <font>
      <b/>
      <sz val="28"/>
      <color indexed="60"/>
      <name val="Arial"/>
      <family val="2"/>
    </font>
    <font>
      <sz val="14"/>
      <color indexed="20"/>
      <name val="Monotype Corsiva"/>
      <family val="4"/>
    </font>
    <font>
      <sz val="10"/>
      <color indexed="17"/>
      <name val="Times New Roman"/>
      <family val="1"/>
    </font>
    <font>
      <b/>
      <sz val="80"/>
      <color indexed="17"/>
      <name val="Times New Roman TUR"/>
      <family val="1"/>
      <charset val="162"/>
    </font>
    <font>
      <sz val="18"/>
      <name val="Arial"/>
      <family val="2"/>
    </font>
    <font>
      <b/>
      <sz val="9"/>
      <name val="Arial"/>
      <family val="2"/>
    </font>
    <font>
      <b/>
      <u/>
      <sz val="20"/>
      <color indexed="17"/>
      <name val="Arial"/>
      <family val="2"/>
    </font>
    <font>
      <sz val="10"/>
      <color indexed="20"/>
      <name val="Arial"/>
      <family val="2"/>
    </font>
    <font>
      <b/>
      <u/>
      <sz val="26"/>
      <name val="Monotype Corsiva"/>
      <family val="4"/>
    </font>
    <font>
      <sz val="10"/>
      <name val="Arial"/>
      <family val="2"/>
    </font>
    <font>
      <b/>
      <i/>
      <sz val="14"/>
      <name val="Lucida Handwriting"/>
      <family val="4"/>
    </font>
    <font>
      <sz val="10"/>
      <name val="Arial"/>
      <family val="2"/>
    </font>
    <font>
      <b/>
      <i/>
      <sz val="10"/>
      <name val="Lucida Handwriting"/>
      <family val="4"/>
    </font>
    <font>
      <sz val="10"/>
      <name val="Arial"/>
      <family val="2"/>
    </font>
    <font>
      <b/>
      <sz val="13"/>
      <name val="Times New Roman"/>
      <family val="1"/>
    </font>
    <font>
      <sz val="10"/>
      <name val="Arial"/>
      <family val="2"/>
    </font>
    <font>
      <b/>
      <sz val="9"/>
      <name val="Arial Narrow"/>
      <family val="2"/>
    </font>
    <font>
      <sz val="13"/>
      <name val="Times New Roman"/>
      <family val="1"/>
    </font>
    <font>
      <sz val="10"/>
      <name val="Arial"/>
      <family val="2"/>
    </font>
    <font>
      <sz val="9"/>
      <name val="Arial Narrow"/>
      <family val="2"/>
    </font>
    <font>
      <sz val="10"/>
      <name val="Arial"/>
      <family val="2"/>
    </font>
    <font>
      <b/>
      <i/>
      <u/>
      <sz val="10"/>
      <name val="Arial"/>
      <family val="2"/>
    </font>
    <font>
      <sz val="10"/>
      <name val="Arial"/>
      <family val="2"/>
    </font>
    <font>
      <sz val="10"/>
      <name val="Arial"/>
      <family val="2"/>
    </font>
    <font>
      <b/>
      <sz val="10"/>
      <color indexed="14"/>
      <name val="Arial"/>
      <family val="2"/>
    </font>
    <font>
      <b/>
      <sz val="13"/>
      <color indexed="12"/>
      <name val="Times New Roman"/>
      <family val="1"/>
    </font>
    <font>
      <sz val="10"/>
      <color indexed="14"/>
      <name val="Arial"/>
      <family val="2"/>
    </font>
    <font>
      <sz val="10"/>
      <color indexed="17"/>
      <name val="Arial"/>
      <family val="2"/>
    </font>
    <font>
      <sz val="10"/>
      <color indexed="60"/>
      <name val="Arial"/>
      <family val="2"/>
    </font>
    <font>
      <sz val="10"/>
      <color indexed="53"/>
      <name val="Arial"/>
      <family val="2"/>
    </font>
    <font>
      <b/>
      <sz val="13"/>
      <color indexed="61"/>
      <name val="Times New Roman"/>
      <family val="1"/>
    </font>
    <font>
      <sz val="9"/>
      <color indexed="14"/>
      <name val="Arial"/>
      <family val="2"/>
    </font>
    <font>
      <sz val="10"/>
      <color indexed="20"/>
      <name val="Arial"/>
      <family val="2"/>
    </font>
    <font>
      <b/>
      <sz val="10"/>
      <color indexed="10"/>
      <name val="Arial"/>
      <family val="2"/>
    </font>
    <font>
      <sz val="10"/>
      <color indexed="12"/>
      <name val="Arial"/>
      <family val="2"/>
    </font>
    <font>
      <b/>
      <sz val="10"/>
      <color indexed="62"/>
      <name val="Arial"/>
      <family val="2"/>
    </font>
    <font>
      <b/>
      <sz val="13"/>
      <color indexed="14"/>
      <name val="Times New Roman"/>
      <family val="1"/>
    </font>
    <font>
      <sz val="10"/>
      <color indexed="62"/>
      <name val="Arial"/>
      <family val="2"/>
    </font>
    <font>
      <sz val="10"/>
      <color indexed="61"/>
      <name val="Arial"/>
      <family val="2"/>
    </font>
    <font>
      <b/>
      <sz val="10"/>
      <color indexed="20"/>
      <name val="Arial"/>
      <family val="2"/>
    </font>
    <font>
      <b/>
      <sz val="9"/>
      <color indexed="17"/>
      <name val="Arial"/>
      <family val="2"/>
    </font>
    <font>
      <sz val="9"/>
      <color indexed="17"/>
      <name val="Arial"/>
      <family val="2"/>
    </font>
    <font>
      <sz val="9"/>
      <color indexed="60"/>
      <name val="Arial"/>
      <family val="2"/>
    </font>
    <font>
      <sz val="9"/>
      <color indexed="49"/>
      <name val="Arial"/>
      <family val="2"/>
    </font>
    <font>
      <sz val="9"/>
      <color indexed="20"/>
      <name val="Arial"/>
      <family val="2"/>
    </font>
    <font>
      <sz val="9"/>
      <name val="Arial"/>
      <family val="2"/>
    </font>
    <font>
      <sz val="14"/>
      <name val="Times New Roman"/>
      <family val="1"/>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7"/>
      <name val="Arial"/>
      <family val="2"/>
    </font>
    <font>
      <sz val="10"/>
      <color indexed="14"/>
      <name val="Arial"/>
      <family val="2"/>
    </font>
    <font>
      <sz val="16"/>
      <color indexed="53"/>
      <name val="Times New Roman"/>
      <family val="1"/>
    </font>
    <font>
      <sz val="12"/>
      <color indexed="53"/>
      <name val="Times New Roman"/>
      <family val="1"/>
    </font>
    <font>
      <b/>
      <sz val="18"/>
      <color indexed="53"/>
      <name val="Times New Roman"/>
      <family val="1"/>
    </font>
    <font>
      <vertAlign val="superscript"/>
      <sz val="10"/>
      <name val="Arial"/>
      <family val="2"/>
    </font>
    <font>
      <sz val="12"/>
      <name val="Arial"/>
      <family val="2"/>
    </font>
    <font>
      <sz val="12"/>
      <color indexed="14"/>
      <name val="Times New Roman"/>
      <family val="1"/>
    </font>
    <font>
      <b/>
      <sz val="12"/>
      <name val="Arial"/>
      <family val="2"/>
    </font>
    <font>
      <vertAlign val="superscript"/>
      <sz val="9"/>
      <name val="Arial"/>
      <family val="2"/>
    </font>
    <font>
      <vertAlign val="superscript"/>
      <sz val="10"/>
      <name val="Arial Narrow"/>
      <family val="2"/>
    </font>
    <font>
      <sz val="9"/>
      <color indexed="20"/>
      <name val="Arial"/>
      <family val="2"/>
    </font>
    <font>
      <b/>
      <sz val="9"/>
      <color indexed="20"/>
      <name val="Arial"/>
      <family val="2"/>
    </font>
    <font>
      <sz val="10"/>
      <color indexed="8"/>
      <name val="Arial"/>
      <family val="2"/>
    </font>
    <font>
      <sz val="10"/>
      <color indexed="21"/>
      <name val="Arial"/>
      <family val="2"/>
    </font>
    <font>
      <sz val="9"/>
      <name val="Arial"/>
      <family val="2"/>
    </font>
    <font>
      <sz val="10"/>
      <color indexed="16"/>
      <name val="Arial"/>
      <family val="2"/>
    </font>
    <font>
      <b/>
      <u/>
      <sz val="16"/>
      <name val="Arial"/>
      <family val="2"/>
    </font>
    <font>
      <b/>
      <sz val="11"/>
      <name val="Arial"/>
      <family val="2"/>
    </font>
    <font>
      <b/>
      <u/>
      <sz val="13"/>
      <name val="Times New Roman TUR"/>
      <family val="1"/>
      <charset val="16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5">
    <xf numFmtId="0" fontId="0" fillId="0" borderId="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5" borderId="0" applyNumberFormat="0" applyBorder="0" applyAlignment="0" applyProtection="0"/>
    <xf numFmtId="0" fontId="66" fillId="8" borderId="0" applyNumberFormat="0" applyBorder="0" applyAlignment="0" applyProtection="0"/>
    <xf numFmtId="0" fontId="66" fillId="11" borderId="0" applyNumberFormat="0" applyBorder="0" applyAlignment="0" applyProtection="0"/>
    <xf numFmtId="0" fontId="67" fillId="12"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9" borderId="0" applyNumberFormat="0" applyBorder="0" applyAlignment="0" applyProtection="0"/>
    <xf numFmtId="0" fontId="68" fillId="3" borderId="0" applyNumberFormat="0" applyBorder="0" applyAlignment="0" applyProtection="0"/>
    <xf numFmtId="0" fontId="69" fillId="20" borderId="1" applyNumberFormat="0" applyAlignment="0" applyProtection="0"/>
    <xf numFmtId="0" fontId="70" fillId="21" borderId="2" applyNumberFormat="0" applyAlignment="0" applyProtection="0"/>
    <xf numFmtId="0" fontId="71" fillId="0" borderId="0" applyNumberFormat="0" applyFill="0" applyBorder="0" applyAlignment="0" applyProtection="0"/>
    <xf numFmtId="0" fontId="72" fillId="4"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4" fillId="0" borderId="0" applyNumberFormat="0" applyFill="0" applyBorder="0" applyAlignment="0" applyProtection="0">
      <alignment vertical="top"/>
      <protection locked="0"/>
    </xf>
    <xf numFmtId="0" fontId="76" fillId="7" borderId="1" applyNumberFormat="0" applyAlignment="0" applyProtection="0"/>
    <xf numFmtId="0" fontId="77" fillId="0" borderId="6" applyNumberFormat="0" applyFill="0" applyAlignment="0" applyProtection="0"/>
    <xf numFmtId="0" fontId="78" fillId="22" borderId="0" applyNumberFormat="0" applyBorder="0" applyAlignment="0" applyProtection="0"/>
    <xf numFmtId="0" fontId="3" fillId="0" borderId="0"/>
    <xf numFmtId="0" fontId="96" fillId="0" borderId="0"/>
    <xf numFmtId="0" fontId="1" fillId="23" borderId="7" applyNumberFormat="0" applyFont="0" applyAlignment="0" applyProtection="0"/>
    <xf numFmtId="0" fontId="79" fillId="20" borderId="8" applyNumberFormat="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1597">
    <xf numFmtId="0" fontId="0" fillId="0" borderId="0" xfId="0"/>
    <xf numFmtId="0" fontId="2" fillId="0" borderId="0" xfId="0" applyFont="1"/>
    <xf numFmtId="0" fontId="3" fillId="0" borderId="0" xfId="0" applyFont="1"/>
    <xf numFmtId="0" fontId="3" fillId="0" borderId="0" xfId="0" applyFont="1" applyAlignment="1">
      <alignment horizontal="center"/>
    </xf>
    <xf numFmtId="0" fontId="0" fillId="0" borderId="0" xfId="0" applyBorder="1"/>
    <xf numFmtId="0" fontId="6" fillId="0" borderId="0" xfId="0" applyFont="1"/>
    <xf numFmtId="0" fontId="6" fillId="0" borderId="0" xfId="0" applyFont="1" applyAlignment="1">
      <alignment horizontal="center" vertical="center"/>
    </xf>
    <xf numFmtId="0" fontId="2" fillId="0" borderId="0" xfId="0" applyFont="1" applyBorder="1" applyAlignment="1">
      <alignment horizontal="left" vertical="top" wrapText="1"/>
    </xf>
    <xf numFmtId="0" fontId="2" fillId="0" borderId="0" xfId="0" applyFont="1" applyBorder="1" applyAlignment="1">
      <alignment horizontal="center" vertical="top" wrapText="1"/>
    </xf>
    <xf numFmtId="0" fontId="0" fillId="0" borderId="0" xfId="0" applyAlignment="1">
      <alignment vertical="top"/>
    </xf>
    <xf numFmtId="0" fontId="2" fillId="0" borderId="0" xfId="0" applyFont="1" applyBorder="1" applyAlignment="1">
      <alignment horizontal="center" vertical="top"/>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10" xfId="0" applyFont="1" applyBorder="1" applyAlignment="1">
      <alignment horizontal="center" vertical="top" wrapText="1"/>
    </xf>
    <xf numFmtId="0" fontId="3" fillId="0" borderId="0" xfId="0" quotePrefix="1" applyFont="1"/>
    <xf numFmtId="0" fontId="3" fillId="0" borderId="0" xfId="0" applyFont="1" applyBorder="1"/>
    <xf numFmtId="0" fontId="3" fillId="0" borderId="0" xfId="0" applyFont="1" applyBorder="1" applyAlignment="1">
      <alignment horizontal="left" vertical="center"/>
    </xf>
    <xf numFmtId="0" fontId="2" fillId="0" borderId="10" xfId="0" applyFont="1" applyBorder="1" applyAlignment="1">
      <alignment horizontal="center" vertical="center"/>
    </xf>
    <xf numFmtId="0" fontId="3" fillId="0" borderId="0" xfId="0" applyFont="1" applyAlignment="1">
      <alignment horizontal="right"/>
    </xf>
    <xf numFmtId="0" fontId="2" fillId="0" borderId="0" xfId="0" applyFont="1" applyAlignment="1">
      <alignment horizontal="center" vertical="top"/>
    </xf>
    <xf numFmtId="0" fontId="7" fillId="0" borderId="0" xfId="0" applyFont="1" applyBorder="1"/>
    <xf numFmtId="0" fontId="3" fillId="0" borderId="0" xfId="0" applyFont="1" applyProtection="1">
      <protection locked="0"/>
    </xf>
    <xf numFmtId="0" fontId="2" fillId="0" borderId="0" xfId="0" applyFont="1" applyProtection="1">
      <protection locked="0"/>
    </xf>
    <xf numFmtId="1" fontId="3" fillId="0" borderId="0" xfId="0" applyNumberFormat="1" applyFont="1"/>
    <xf numFmtId="0" fontId="3" fillId="0" borderId="0" xfId="0" applyFont="1" applyBorder="1" applyAlignment="1">
      <alignment horizontal="center" vertical="center"/>
    </xf>
    <xf numFmtId="0" fontId="3" fillId="0" borderId="0" xfId="0" applyFont="1" applyBorder="1" applyAlignment="1">
      <alignment horizontal="center"/>
    </xf>
    <xf numFmtId="0" fontId="2" fillId="0" borderId="0" xfId="0" applyFont="1" applyBorder="1"/>
    <xf numFmtId="0" fontId="3" fillId="0" borderId="11" xfId="0" applyFont="1" applyBorder="1" applyAlignment="1">
      <alignment horizontal="center"/>
    </xf>
    <xf numFmtId="0" fontId="2" fillId="0" borderId="12" xfId="0" applyFont="1" applyBorder="1" applyAlignment="1">
      <alignment horizontal="center" vertical="center"/>
    </xf>
    <xf numFmtId="0" fontId="3" fillId="0" borderId="11" xfId="0" applyFont="1" applyBorder="1" applyAlignment="1">
      <alignment horizontal="center" vertical="center"/>
    </xf>
    <xf numFmtId="0" fontId="14" fillId="0" borderId="0" xfId="0" applyFont="1"/>
    <xf numFmtId="0" fontId="14" fillId="0" borderId="0" xfId="0" quotePrefix="1" applyFont="1"/>
    <xf numFmtId="0" fontId="15" fillId="0" borderId="0" xfId="0" applyFont="1"/>
    <xf numFmtId="0" fontId="3" fillId="0" borderId="13"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12" fillId="0" borderId="0" xfId="0" applyFont="1" applyAlignment="1">
      <alignment horizontal="center"/>
    </xf>
    <xf numFmtId="0" fontId="13" fillId="0" borderId="0" xfId="0" applyFont="1" applyAlignment="1">
      <alignment horizontal="center"/>
    </xf>
    <xf numFmtId="0" fontId="20" fillId="0" borderId="0" xfId="0" applyFont="1"/>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2" fillId="0" borderId="1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1" xfId="0" applyFont="1" applyBorder="1" applyAlignment="1">
      <alignment vertical="center"/>
    </xf>
    <xf numFmtId="0" fontId="6" fillId="0" borderId="0" xfId="0" applyFont="1" applyAlignment="1">
      <alignment vertical="center"/>
    </xf>
    <xf numFmtId="2" fontId="6" fillId="0" borderId="0" xfId="0" applyNumberFormat="1" applyFont="1" applyAlignment="1">
      <alignment vertical="center"/>
    </xf>
    <xf numFmtId="0" fontId="3" fillId="0" borderId="14"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6" fillId="0" borderId="0" xfId="0" applyFont="1" applyBorder="1" applyAlignment="1">
      <alignment horizontal="center"/>
    </xf>
    <xf numFmtId="0" fontId="3" fillId="0" borderId="13" xfId="0" quotePrefix="1" applyFont="1" applyBorder="1" applyAlignment="1" applyProtection="1">
      <alignment horizontal="center" vertical="center"/>
      <protection locked="0"/>
    </xf>
    <xf numFmtId="0" fontId="3" fillId="0" borderId="14" xfId="0" quotePrefix="1" applyFont="1" applyBorder="1" applyAlignment="1" applyProtection="1">
      <alignment horizontal="center" vertical="center"/>
      <protection locked="0"/>
    </xf>
    <xf numFmtId="0" fontId="3" fillId="0" borderId="0" xfId="0" applyFont="1" applyAlignment="1">
      <alignment horizontal="center" vertical="center"/>
    </xf>
    <xf numFmtId="0" fontId="3" fillId="0" borderId="0" xfId="0" applyFont="1" applyAlignment="1">
      <alignment vertical="center"/>
    </xf>
    <xf numFmtId="0" fontId="3" fillId="0" borderId="16" xfId="0" applyFont="1" applyBorder="1" applyAlignment="1">
      <alignment horizontal="center" vertical="center"/>
    </xf>
    <xf numFmtId="1" fontId="3" fillId="0" borderId="11" xfId="0" applyNumberFormat="1" applyFont="1" applyBorder="1" applyAlignment="1">
      <alignment horizontal="center" vertical="center"/>
    </xf>
    <xf numFmtId="0" fontId="3" fillId="0" borderId="17" xfId="0" applyFont="1" applyBorder="1" applyAlignment="1">
      <alignment horizontal="center" vertical="center"/>
    </xf>
    <xf numFmtId="0" fontId="8" fillId="0" borderId="0" xfId="0" applyFont="1"/>
    <xf numFmtId="0" fontId="8" fillId="0" borderId="0" xfId="0" applyFont="1" applyFill="1" applyBorder="1" applyAlignment="1">
      <alignment horizontal="right"/>
    </xf>
    <xf numFmtId="0" fontId="3" fillId="0" borderId="0" xfId="0" applyFont="1" applyFill="1" applyBorder="1" applyAlignment="1">
      <alignment horizontal="right"/>
    </xf>
    <xf numFmtId="2" fontId="3" fillId="0" borderId="12" xfId="0" applyNumberFormat="1" applyFont="1" applyBorder="1" applyAlignment="1">
      <alignment horizontal="center" vertical="center"/>
    </xf>
    <xf numFmtId="2" fontId="2" fillId="0" borderId="11" xfId="0" applyNumberFormat="1" applyFont="1" applyBorder="1" applyAlignment="1" applyProtection="1">
      <alignment horizontal="center" vertical="center"/>
    </xf>
    <xf numFmtId="0" fontId="2" fillId="0" borderId="11" xfId="0" applyFont="1" applyBorder="1" applyAlignment="1" applyProtection="1">
      <alignment horizontal="center" vertical="center"/>
      <protection locked="0"/>
    </xf>
    <xf numFmtId="0" fontId="2" fillId="0" borderId="17" xfId="0" applyFont="1" applyBorder="1" applyAlignment="1">
      <alignment horizontal="center" vertical="center"/>
    </xf>
    <xf numFmtId="0" fontId="2" fillId="0" borderId="16" xfId="0" applyFont="1" applyBorder="1" applyAlignment="1">
      <alignment horizontal="center" vertical="center"/>
    </xf>
    <xf numFmtId="2" fontId="2" fillId="0" borderId="0" xfId="0" applyNumberFormat="1" applyFont="1" applyBorder="1" applyAlignment="1" applyProtection="1">
      <alignment horizontal="center" vertical="center"/>
      <protection locked="0"/>
    </xf>
    <xf numFmtId="2" fontId="3" fillId="0" borderId="11" xfId="0" quotePrefix="1" applyNumberFormat="1" applyFont="1" applyFill="1" applyBorder="1" applyAlignment="1">
      <alignment horizontal="center" vertical="center"/>
    </xf>
    <xf numFmtId="0" fontId="21" fillId="0" borderId="0" xfId="0" applyFont="1" applyAlignment="1">
      <alignment horizontal="center" vertical="center" wrapText="1"/>
    </xf>
    <xf numFmtId="2" fontId="3" fillId="0" borderId="13" xfId="0" applyNumberFormat="1" applyFont="1" applyBorder="1" applyAlignment="1">
      <alignment horizontal="center" vertical="center"/>
    </xf>
    <xf numFmtId="2" fontId="3" fillId="0" borderId="14" xfId="0" applyNumberFormat="1" applyFont="1" applyBorder="1" applyAlignment="1">
      <alignment horizontal="center" vertical="center"/>
    </xf>
    <xf numFmtId="2" fontId="3" fillId="0" borderId="0" xfId="0" applyNumberFormat="1" applyFont="1" applyBorder="1" applyAlignment="1">
      <alignment horizontal="center" vertical="center"/>
    </xf>
    <xf numFmtId="0" fontId="2" fillId="0" borderId="11" xfId="0" applyFont="1" applyBorder="1" applyAlignment="1">
      <alignment horizontal="center"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1" xfId="0" applyFont="1" applyBorder="1" applyAlignment="1">
      <alignment vertical="center"/>
    </xf>
    <xf numFmtId="2" fontId="2" fillId="0" borderId="13" xfId="0" applyNumberFormat="1" applyFont="1" applyBorder="1" applyAlignment="1">
      <alignment horizontal="center" vertical="center"/>
    </xf>
    <xf numFmtId="2" fontId="2" fillId="0" borderId="0" xfId="0" applyNumberFormat="1" applyFont="1" applyBorder="1" applyAlignment="1">
      <alignment horizontal="center" vertical="center"/>
    </xf>
    <xf numFmtId="0" fontId="14" fillId="0" borderId="0" xfId="0" quotePrefix="1" applyFont="1" applyAlignment="1">
      <alignment horizontal="left"/>
    </xf>
    <xf numFmtId="0" fontId="6" fillId="0" borderId="10" xfId="0" applyFont="1" applyBorder="1" applyAlignment="1">
      <alignment vertical="center"/>
    </xf>
    <xf numFmtId="0" fontId="6" fillId="0" borderId="0" xfId="0" applyFont="1" applyBorder="1" applyAlignment="1">
      <alignment vertical="center"/>
    </xf>
    <xf numFmtId="0" fontId="2" fillId="0" borderId="13" xfId="0" applyFont="1" applyBorder="1" applyAlignment="1">
      <alignment vertical="center"/>
    </xf>
    <xf numFmtId="0" fontId="3" fillId="0" borderId="13" xfId="0" quotePrefix="1" applyFont="1" applyBorder="1" applyAlignment="1">
      <alignment horizontal="center" vertical="center"/>
    </xf>
    <xf numFmtId="0" fontId="3" fillId="0" borderId="0" xfId="0" applyFont="1" applyAlignment="1">
      <alignment horizontal="right" vertical="center"/>
    </xf>
    <xf numFmtId="2" fontId="3" fillId="0" borderId="12" xfId="0" applyNumberFormat="1" applyFont="1" applyBorder="1" applyAlignment="1" applyProtection="1">
      <alignment horizontal="center" vertical="center"/>
      <protection locked="0"/>
    </xf>
    <xf numFmtId="0" fontId="2" fillId="0" borderId="12"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wrapText="1"/>
    </xf>
    <xf numFmtId="0" fontId="3" fillId="0" borderId="12" xfId="0" applyFont="1" applyBorder="1" applyAlignment="1" applyProtection="1">
      <alignment horizontal="center" vertical="center"/>
    </xf>
    <xf numFmtId="0" fontId="3" fillId="0" borderId="11"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9" fillId="0" borderId="13" xfId="0" applyFont="1" applyBorder="1" applyAlignment="1">
      <alignment horizontal="left" vertical="center"/>
    </xf>
    <xf numFmtId="0" fontId="8" fillId="0" borderId="0" xfId="0" applyFont="1" applyAlignment="1" applyProtection="1">
      <alignment vertical="center"/>
      <protection locked="0"/>
    </xf>
    <xf numFmtId="0" fontId="8" fillId="0" borderId="0" xfId="0" applyFont="1" applyAlignment="1">
      <alignment vertical="center"/>
    </xf>
    <xf numFmtId="0" fontId="2" fillId="0" borderId="16"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7" fillId="0" borderId="0" xfId="0" applyFont="1" applyBorder="1" applyAlignment="1">
      <alignment vertical="center"/>
    </xf>
    <xf numFmtId="0" fontId="3" fillId="0" borderId="10" xfId="0" applyFont="1" applyBorder="1" applyAlignment="1">
      <alignment vertical="center"/>
    </xf>
    <xf numFmtId="0" fontId="3" fillId="0" borderId="12"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9" xfId="0" applyFont="1" applyBorder="1" applyAlignment="1">
      <alignment horizontal="center" vertical="center" wrapText="1"/>
    </xf>
    <xf numFmtId="0" fontId="3" fillId="0" borderId="12" xfId="0" applyFont="1" applyFill="1" applyBorder="1" applyAlignment="1" applyProtection="1">
      <alignment horizontal="center" vertical="center"/>
      <protection locked="0"/>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2" fontId="3" fillId="0" borderId="16" xfId="0" applyNumberFormat="1" applyFont="1" applyBorder="1" applyAlignment="1">
      <alignment horizontal="center" vertical="center"/>
    </xf>
    <xf numFmtId="3" fontId="8" fillId="0" borderId="0" xfId="0" applyNumberFormat="1" applyFont="1" applyAlignment="1">
      <alignment vertical="center"/>
    </xf>
    <xf numFmtId="0" fontId="3" fillId="0" borderId="0" xfId="0" applyFont="1" applyBorder="1" applyAlignment="1">
      <alignment horizontal="right" vertical="center"/>
    </xf>
    <xf numFmtId="0" fontId="3" fillId="0" borderId="10" xfId="0" applyFont="1" applyBorder="1" applyAlignment="1">
      <alignment horizontal="right" vertical="center"/>
    </xf>
    <xf numFmtId="0" fontId="3" fillId="0" borderId="11" xfId="0" quotePrefix="1" applyFont="1" applyBorder="1" applyAlignment="1" applyProtection="1">
      <alignment horizontal="center" vertical="center"/>
      <protection locked="0"/>
    </xf>
    <xf numFmtId="2" fontId="2" fillId="0" borderId="14" xfId="0" applyNumberFormat="1" applyFont="1" applyBorder="1" applyAlignment="1">
      <alignment horizontal="center" vertical="center"/>
    </xf>
    <xf numFmtId="0" fontId="3" fillId="0" borderId="18"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7" fillId="0" borderId="20" xfId="0" applyFont="1" applyBorder="1" applyAlignment="1">
      <alignment horizontal="center" vertical="center"/>
    </xf>
    <xf numFmtId="0" fontId="7" fillId="0" borderId="17" xfId="0" applyFont="1" applyBorder="1" applyAlignment="1" applyProtection="1">
      <alignment horizontal="center" vertical="center"/>
      <protection locked="0"/>
    </xf>
    <xf numFmtId="2" fontId="7" fillId="0" borderId="0" xfId="0" applyNumberFormat="1" applyFont="1" applyBorder="1" applyAlignment="1">
      <alignment horizontal="center" vertical="center" wrapText="1"/>
    </xf>
    <xf numFmtId="2" fontId="7" fillId="0" borderId="12" xfId="0" applyNumberFormat="1" applyFont="1" applyBorder="1" applyAlignment="1">
      <alignment horizontal="center" vertical="center" wrapText="1"/>
    </xf>
    <xf numFmtId="0" fontId="7" fillId="0" borderId="17" xfId="0" quotePrefix="1" applyFont="1" applyBorder="1" applyAlignment="1" applyProtection="1">
      <alignment horizontal="center" vertical="center"/>
      <protection locked="0"/>
    </xf>
    <xf numFmtId="2" fontId="7" fillId="0" borderId="17" xfId="0" applyNumberFormat="1" applyFont="1" applyBorder="1" applyAlignment="1">
      <alignment horizontal="center" vertical="center" wrapText="1"/>
    </xf>
    <xf numFmtId="0" fontId="7" fillId="0" borderId="10" xfId="0" applyFont="1" applyBorder="1" applyAlignment="1">
      <alignment horizontal="center" vertical="center"/>
    </xf>
    <xf numFmtId="0" fontId="7" fillId="0" borderId="14" xfId="0" applyFont="1" applyBorder="1" applyAlignment="1" applyProtection="1">
      <alignment horizontal="center" vertical="center"/>
      <protection locked="0"/>
    </xf>
    <xf numFmtId="2" fontId="7" fillId="0" borderId="10" xfId="0" applyNumberFormat="1" applyFont="1" applyBorder="1" applyAlignment="1">
      <alignment horizontal="center" vertical="center" wrapText="1"/>
    </xf>
    <xf numFmtId="2" fontId="7" fillId="0" borderId="15" xfId="0" applyNumberFormat="1" applyFont="1" applyBorder="1" applyAlignment="1">
      <alignment horizontal="center" vertical="center" wrapText="1"/>
    </xf>
    <xf numFmtId="0" fontId="7" fillId="0" borderId="14" xfId="0" quotePrefix="1" applyFont="1" applyBorder="1" applyAlignment="1" applyProtection="1">
      <alignment horizontal="center" vertical="center"/>
      <protection locked="0"/>
    </xf>
    <xf numFmtId="2" fontId="7" fillId="0" borderId="14" xfId="0" applyNumberFormat="1" applyFont="1" applyBorder="1" applyAlignment="1">
      <alignment horizontal="center" vertical="center" wrapText="1"/>
    </xf>
    <xf numFmtId="0" fontId="7" fillId="0" borderId="13" xfId="0" applyFont="1" applyBorder="1" applyAlignment="1" applyProtection="1">
      <alignment horizontal="center" vertical="center"/>
      <protection locked="0"/>
    </xf>
    <xf numFmtId="0" fontId="7" fillId="0" borderId="13" xfId="0" quotePrefix="1" applyFont="1" applyBorder="1" applyAlignment="1" applyProtection="1">
      <alignment horizontal="center" vertical="center"/>
      <protection locked="0"/>
    </xf>
    <xf numFmtId="2" fontId="7" fillId="0" borderId="13" xfId="0" applyNumberFormat="1" applyFont="1" applyBorder="1" applyAlignment="1">
      <alignment horizontal="center" vertical="center" wrapText="1"/>
    </xf>
    <xf numFmtId="0" fontId="7" fillId="0" borderId="14" xfId="0" applyFont="1" applyBorder="1" applyAlignment="1" applyProtection="1">
      <alignment horizontal="center" vertical="center" wrapText="1"/>
      <protection locked="0"/>
    </xf>
    <xf numFmtId="2" fontId="7" fillId="0" borderId="20" xfId="0" applyNumberFormat="1" applyFont="1" applyBorder="1" applyAlignment="1">
      <alignment horizontal="center" vertical="center" wrapText="1"/>
    </xf>
    <xf numFmtId="2" fontId="7" fillId="0" borderId="21" xfId="0" applyNumberFormat="1" applyFont="1" applyBorder="1" applyAlignment="1">
      <alignment horizontal="center" vertical="center" wrapText="1"/>
    </xf>
    <xf numFmtId="0" fontId="20" fillId="0" borderId="0" xfId="0" applyFont="1" applyAlignment="1">
      <alignment horizontal="center"/>
    </xf>
    <xf numFmtId="0" fontId="24" fillId="0" borderId="0" xfId="0" applyFont="1" applyAlignment="1">
      <alignment horizontal="center" vertical="top"/>
    </xf>
    <xf numFmtId="0" fontId="19" fillId="0" borderId="0" xfId="0" applyFont="1" applyAlignment="1">
      <alignment vertical="top"/>
    </xf>
    <xf numFmtId="0" fontId="25" fillId="0" borderId="0" xfId="0" applyFont="1" applyAlignment="1"/>
    <xf numFmtId="0" fontId="19" fillId="0" borderId="0" xfId="0" applyFont="1" applyAlignment="1"/>
    <xf numFmtId="0" fontId="2" fillId="0" borderId="14" xfId="0" applyFont="1" applyBorder="1" applyAlignment="1">
      <alignment horizontal="center" vertical="center" wrapText="1"/>
    </xf>
    <xf numFmtId="0" fontId="7" fillId="0" borderId="14" xfId="0" applyFont="1" applyBorder="1" applyAlignment="1">
      <alignment horizontal="center" vertical="center"/>
    </xf>
    <xf numFmtId="0" fontId="7" fillId="0" borderId="17" xfId="0" applyFont="1" applyBorder="1" applyAlignment="1">
      <alignment horizontal="center" vertical="center"/>
    </xf>
    <xf numFmtId="2" fontId="2" fillId="0" borderId="12" xfId="0" applyNumberFormat="1" applyFont="1" applyBorder="1" applyAlignment="1">
      <alignment horizontal="center" vertical="center"/>
    </xf>
    <xf numFmtId="0" fontId="2" fillId="0" borderId="12" xfId="0" quotePrefix="1" applyFont="1" applyBorder="1" applyAlignment="1" applyProtection="1">
      <alignment horizontal="center" vertical="center"/>
      <protection locked="0"/>
    </xf>
    <xf numFmtId="2" fontId="2" fillId="0" borderId="0" xfId="0" applyNumberFormat="1" applyFont="1" applyBorder="1" applyAlignment="1">
      <alignment horizontal="center"/>
    </xf>
    <xf numFmtId="0" fontId="3" fillId="0" borderId="12" xfId="0" quotePrefix="1" applyFont="1" applyBorder="1" applyAlignment="1" applyProtection="1">
      <alignment horizontal="center" vertical="center"/>
      <protection locked="0"/>
    </xf>
    <xf numFmtId="2" fontId="3" fillId="0" borderId="0" xfId="0" quotePrefix="1" applyNumberFormat="1" applyFont="1" applyBorder="1" applyAlignment="1">
      <alignment horizontal="center" vertical="center"/>
    </xf>
    <xf numFmtId="0" fontId="2" fillId="0" borderId="0" xfId="0" quotePrefix="1" applyFont="1" applyBorder="1" applyAlignment="1">
      <alignment horizontal="center" vertical="center"/>
    </xf>
    <xf numFmtId="0" fontId="3" fillId="0" borderId="13" xfId="0" applyFont="1" applyFill="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3" xfId="0" quotePrefix="1" applyFont="1" applyBorder="1" applyAlignment="1">
      <alignment horizontal="center" vertical="center"/>
    </xf>
    <xf numFmtId="0" fontId="3" fillId="0" borderId="18" xfId="0" quotePrefix="1" applyFont="1" applyBorder="1" applyAlignment="1">
      <alignment horizontal="center" vertical="center"/>
    </xf>
    <xf numFmtId="1" fontId="3" fillId="0" borderId="0" xfId="0" applyNumberFormat="1" applyFont="1" applyBorder="1" applyAlignment="1">
      <alignment horizontal="center" vertical="center"/>
    </xf>
    <xf numFmtId="0" fontId="2" fillId="0" borderId="15" xfId="0" applyFont="1" applyBorder="1" applyAlignment="1">
      <alignment horizontal="center" vertical="center"/>
    </xf>
    <xf numFmtId="0" fontId="2" fillId="0" borderId="21" xfId="0" applyFont="1" applyBorder="1" applyAlignment="1">
      <alignment horizontal="center" vertical="center"/>
    </xf>
    <xf numFmtId="0" fontId="3" fillId="0" borderId="0" xfId="0" applyFont="1" applyBorder="1" applyAlignment="1" applyProtection="1">
      <alignment horizontal="right"/>
      <protection locked="0"/>
    </xf>
    <xf numFmtId="0" fontId="32" fillId="0" borderId="0" xfId="0" applyFont="1" applyBorder="1" applyAlignment="1">
      <alignment horizontal="center" vertical="top"/>
    </xf>
    <xf numFmtId="0" fontId="3" fillId="0" borderId="22" xfId="0" quotePrefix="1" applyFont="1" applyBorder="1" applyAlignment="1">
      <alignment horizontal="center" vertical="center" wrapText="1"/>
    </xf>
    <xf numFmtId="0" fontId="3" fillId="0" borderId="23" xfId="0" quotePrefix="1" applyFont="1" applyBorder="1" applyAlignment="1">
      <alignment horizontal="center" vertical="center" wrapText="1"/>
    </xf>
    <xf numFmtId="0" fontId="3" fillId="0" borderId="24" xfId="0" quotePrefix="1" applyFont="1" applyBorder="1" applyAlignment="1">
      <alignment horizontal="center" vertical="center" wrapText="1"/>
    </xf>
    <xf numFmtId="2" fontId="27" fillId="0" borderId="16" xfId="0" applyNumberFormat="1" applyFont="1" applyBorder="1" applyAlignment="1">
      <alignment horizontal="center" vertical="center"/>
    </xf>
    <xf numFmtId="2" fontId="27" fillId="0" borderId="10" xfId="0" applyNumberFormat="1" applyFont="1" applyBorder="1" applyAlignment="1">
      <alignment horizontal="center" vertical="center"/>
    </xf>
    <xf numFmtId="2" fontId="27" fillId="0" borderId="11" xfId="0" applyNumberFormat="1" applyFont="1" applyBorder="1" applyAlignment="1">
      <alignment horizontal="center" vertical="center"/>
    </xf>
    <xf numFmtId="2" fontId="27" fillId="0" borderId="0" xfId="0" applyNumberFormat="1" applyFont="1" applyBorder="1" applyAlignment="1">
      <alignment horizontal="center" vertical="center"/>
    </xf>
    <xf numFmtId="0" fontId="3" fillId="0" borderId="11" xfId="0" quotePrefix="1" applyFont="1" applyBorder="1" applyAlignment="1">
      <alignment horizontal="center" vertical="center"/>
    </xf>
    <xf numFmtId="0" fontId="2" fillId="0" borderId="11" xfId="0" quotePrefix="1" applyFont="1" applyBorder="1" applyAlignment="1">
      <alignment horizontal="center" vertical="center"/>
    </xf>
    <xf numFmtId="0" fontId="27" fillId="0" borderId="0" xfId="0" applyFont="1" applyAlignment="1">
      <alignment horizontal="center"/>
    </xf>
    <xf numFmtId="0" fontId="1" fillId="0" borderId="0" xfId="0" applyFont="1"/>
    <xf numFmtId="0" fontId="27" fillId="0" borderId="0" xfId="0" applyFont="1"/>
    <xf numFmtId="0" fontId="27" fillId="0" borderId="13" xfId="0" applyFont="1" applyBorder="1" applyAlignment="1">
      <alignment horizontal="center"/>
    </xf>
    <xf numFmtId="0" fontId="27" fillId="0" borderId="12" xfId="0" applyFont="1" applyBorder="1" applyAlignment="1">
      <alignment horizontal="center"/>
    </xf>
    <xf numFmtId="0" fontId="3" fillId="0" borderId="12" xfId="0" applyFont="1" applyBorder="1"/>
    <xf numFmtId="0" fontId="3" fillId="0" borderId="14" xfId="0" applyFont="1" applyBorder="1" applyAlignment="1">
      <alignment horizontal="center"/>
    </xf>
    <xf numFmtId="0" fontId="27" fillId="0" borderId="0" xfId="0" applyFont="1" applyBorder="1"/>
    <xf numFmtId="0" fontId="3" fillId="0" borderId="17" xfId="0" applyFont="1" applyBorder="1" applyAlignment="1">
      <alignment horizontal="center"/>
    </xf>
    <xf numFmtId="0" fontId="2" fillId="0" borderId="19" xfId="0" applyFont="1" applyBorder="1" applyAlignment="1">
      <alignment horizontal="center" vertical="center"/>
    </xf>
    <xf numFmtId="0" fontId="2" fillId="0" borderId="24" xfId="0" applyFont="1" applyBorder="1" applyAlignment="1">
      <alignment horizontal="center" vertical="center"/>
    </xf>
    <xf numFmtId="0" fontId="3" fillId="0" borderId="14" xfId="0" quotePrefix="1" applyFont="1" applyBorder="1" applyAlignment="1">
      <alignment horizontal="center" vertical="center"/>
    </xf>
    <xf numFmtId="0" fontId="3" fillId="0" borderId="15" xfId="0" quotePrefix="1" applyFont="1" applyBorder="1" applyAlignment="1">
      <alignment horizontal="center" vertical="center"/>
    </xf>
    <xf numFmtId="0" fontId="27" fillId="0" borderId="13" xfId="0" applyFont="1" applyBorder="1" applyAlignment="1">
      <alignment horizontal="center" vertical="center"/>
    </xf>
    <xf numFmtId="0" fontId="27" fillId="0" borderId="12" xfId="0" applyFont="1" applyBorder="1" applyAlignment="1">
      <alignment horizontal="center" vertical="center"/>
    </xf>
    <xf numFmtId="2" fontId="27" fillId="0" borderId="12" xfId="0" applyNumberFormat="1" applyFont="1" applyBorder="1" applyAlignment="1">
      <alignment horizontal="center" vertical="center"/>
    </xf>
    <xf numFmtId="1" fontId="27" fillId="0" borderId="12" xfId="0" applyNumberFormat="1" applyFont="1" applyBorder="1" applyAlignment="1">
      <alignment horizontal="center" vertical="center"/>
    </xf>
    <xf numFmtId="0" fontId="3" fillId="0" borderId="13" xfId="0" applyFont="1" applyBorder="1" applyAlignment="1">
      <alignment vertical="center" wrapText="1"/>
    </xf>
    <xf numFmtId="2" fontId="27" fillId="0" borderId="15" xfId="0" applyNumberFormat="1" applyFont="1" applyBorder="1" applyAlignment="1">
      <alignment horizontal="center" vertical="center"/>
    </xf>
    <xf numFmtId="0" fontId="27" fillId="0" borderId="0" xfId="0" applyFont="1" applyBorder="1" applyAlignment="1">
      <alignment horizontal="center" vertical="center"/>
    </xf>
    <xf numFmtId="0" fontId="3" fillId="0" borderId="0" xfId="0" applyFont="1" applyBorder="1" applyAlignment="1">
      <alignment vertical="center"/>
    </xf>
    <xf numFmtId="0" fontId="2" fillId="0" borderId="17" xfId="0" applyFont="1" applyBorder="1" applyAlignment="1">
      <alignment vertical="center"/>
    </xf>
    <xf numFmtId="0" fontId="27" fillId="0" borderId="21" xfId="0" applyFont="1" applyBorder="1" applyAlignment="1">
      <alignment horizontal="center" vertical="center"/>
    </xf>
    <xf numFmtId="17" fontId="3" fillId="0" borderId="13" xfId="0" quotePrefix="1" applyNumberFormat="1" applyFont="1" applyBorder="1" applyAlignment="1">
      <alignment horizontal="center" vertical="center"/>
    </xf>
    <xf numFmtId="0" fontId="27" fillId="0" borderId="15" xfId="0" applyFont="1" applyBorder="1" applyAlignment="1">
      <alignment horizontal="center" vertical="center"/>
    </xf>
    <xf numFmtId="0" fontId="3" fillId="0" borderId="0" xfId="0" applyFont="1" applyAlignment="1"/>
    <xf numFmtId="0" fontId="27" fillId="0" borderId="0" xfId="0" applyFont="1" applyAlignment="1"/>
    <xf numFmtId="0" fontId="3" fillId="0" borderId="12" xfId="0" applyFont="1" applyBorder="1" applyAlignment="1">
      <alignment vertical="center"/>
    </xf>
    <xf numFmtId="0" fontId="3" fillId="0" borderId="10" xfId="0" applyFont="1" applyBorder="1" applyAlignment="1">
      <alignment horizontal="right"/>
    </xf>
    <xf numFmtId="0" fontId="3" fillId="0" borderId="12" xfId="0" applyFont="1" applyBorder="1" applyAlignment="1">
      <alignment horizontal="left" vertical="top" wrapText="1"/>
    </xf>
    <xf numFmtId="0" fontId="2" fillId="0" borderId="10" xfId="0" applyFont="1" applyBorder="1" applyAlignment="1">
      <alignment horizontal="left"/>
    </xf>
    <xf numFmtId="0" fontId="32" fillId="0" borderId="0" xfId="0" applyFont="1" applyBorder="1" applyAlignment="1">
      <alignment horizontal="center" vertical="top" wrapText="1"/>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24" xfId="0" quotePrefix="1" applyFont="1" applyBorder="1" applyAlignment="1">
      <alignment horizontal="center"/>
    </xf>
    <xf numFmtId="0" fontId="2" fillId="0" borderId="18" xfId="0" applyFont="1" applyBorder="1" applyAlignment="1">
      <alignment horizontal="left" vertical="center"/>
    </xf>
    <xf numFmtId="0" fontId="33" fillId="0" borderId="0" xfId="0" applyFont="1"/>
    <xf numFmtId="0" fontId="3" fillId="0" borderId="17" xfId="0" applyFont="1" applyBorder="1" applyAlignment="1">
      <alignment horizontal="center" vertical="center" wrapText="1"/>
    </xf>
    <xf numFmtId="0" fontId="2" fillId="0" borderId="23" xfId="0" applyFont="1" applyBorder="1" applyAlignment="1">
      <alignment horizontal="center" vertical="center"/>
    </xf>
    <xf numFmtId="0" fontId="2" fillId="0" borderId="22" xfId="0" applyFont="1" applyBorder="1" applyAlignment="1">
      <alignment horizontal="center" vertical="center"/>
    </xf>
    <xf numFmtId="0" fontId="3" fillId="0" borderId="21" xfId="0" applyFont="1" applyBorder="1" applyAlignment="1">
      <alignment horizontal="center" vertical="center"/>
    </xf>
    <xf numFmtId="0" fontId="3" fillId="0" borderId="14" xfId="0" applyFont="1" applyBorder="1" applyAlignment="1">
      <alignment horizontal="center" vertical="center" wrapText="1"/>
    </xf>
    <xf numFmtId="0" fontId="3" fillId="0" borderId="19" xfId="0" applyFont="1" applyBorder="1" applyAlignment="1">
      <alignment horizontal="center" vertical="center"/>
    </xf>
    <xf numFmtId="0" fontId="3" fillId="0" borderId="19" xfId="0" quotePrefix="1" applyFont="1" applyBorder="1" applyAlignment="1">
      <alignment horizontal="center" vertical="center"/>
    </xf>
    <xf numFmtId="0" fontId="3" fillId="0" borderId="24" xfId="0" quotePrefix="1" applyFont="1" applyBorder="1" applyAlignment="1">
      <alignment horizontal="center" vertical="center"/>
    </xf>
    <xf numFmtId="0" fontId="3" fillId="0" borderId="19" xfId="0" quotePrefix="1" applyFont="1" applyFill="1" applyBorder="1" applyAlignment="1">
      <alignment horizontal="center" vertical="center"/>
    </xf>
    <xf numFmtId="0" fontId="3" fillId="0" borderId="24" xfId="0" quotePrefix="1" applyFont="1" applyFill="1" applyBorder="1" applyAlignment="1">
      <alignment horizontal="center" vertical="center"/>
    </xf>
    <xf numFmtId="0" fontId="27" fillId="0" borderId="19" xfId="0" applyFont="1" applyBorder="1" applyAlignment="1">
      <alignment horizontal="center" vertical="center" wrapText="1"/>
    </xf>
    <xf numFmtId="0" fontId="27" fillId="0" borderId="24" xfId="0" applyFont="1" applyBorder="1" applyAlignment="1">
      <alignment horizontal="center" vertical="center" wrapText="1"/>
    </xf>
    <xf numFmtId="0" fontId="3" fillId="0" borderId="0" xfId="0" applyFont="1" applyBorder="1" applyAlignment="1">
      <alignment horizontal="right"/>
    </xf>
    <xf numFmtId="0" fontId="3" fillId="0" borderId="20" xfId="0" applyFont="1" applyBorder="1" applyAlignment="1">
      <alignment horizontal="center" vertical="center"/>
    </xf>
    <xf numFmtId="0" fontId="3" fillId="0" borderId="22" xfId="0" quotePrefix="1" applyFont="1" applyBorder="1" applyAlignment="1">
      <alignment horizontal="center" vertical="center"/>
    </xf>
    <xf numFmtId="0" fontId="3" fillId="0" borderId="23" xfId="0" quotePrefix="1" applyFont="1" applyBorder="1" applyAlignment="1">
      <alignment horizontal="center" vertical="center"/>
    </xf>
    <xf numFmtId="0" fontId="27" fillId="0" borderId="17" xfId="0" applyFont="1" applyBorder="1" applyAlignment="1">
      <alignment horizontal="center" vertical="center"/>
    </xf>
    <xf numFmtId="0" fontId="27" fillId="0" borderId="13" xfId="0" applyFont="1" applyFill="1" applyBorder="1" applyAlignment="1">
      <alignment horizontal="center" vertical="center"/>
    </xf>
    <xf numFmtId="0" fontId="27" fillId="0" borderId="17" xfId="0" applyFont="1" applyFill="1" applyBorder="1" applyAlignment="1">
      <alignment horizontal="center" vertical="center"/>
    </xf>
    <xf numFmtId="0" fontId="3" fillId="0" borderId="11" xfId="0" applyFont="1" applyFill="1" applyBorder="1" applyAlignment="1">
      <alignment horizontal="center" vertical="center"/>
    </xf>
    <xf numFmtId="0" fontId="27" fillId="0" borderId="10" xfId="0" applyFont="1" applyBorder="1" applyAlignment="1">
      <alignment horizontal="center" vertical="center"/>
    </xf>
    <xf numFmtId="0" fontId="27" fillId="0" borderId="14" xfId="0" applyFont="1" applyFill="1" applyBorder="1" applyAlignment="1">
      <alignment horizontal="center" vertical="center"/>
    </xf>
    <xf numFmtId="0" fontId="3" fillId="0" borderId="20" xfId="0" applyFont="1" applyBorder="1" applyAlignment="1">
      <alignment horizontal="center" vertical="center" wrapText="1"/>
    </xf>
    <xf numFmtId="0" fontId="3" fillId="0" borderId="22" xfId="0" applyFont="1" applyBorder="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horizontal="center" vertical="center"/>
    </xf>
    <xf numFmtId="0" fontId="3" fillId="0" borderId="19" xfId="0" applyFont="1" applyBorder="1" applyAlignment="1">
      <alignment horizontal="center"/>
    </xf>
    <xf numFmtId="0" fontId="3" fillId="0" borderId="15" xfId="0" applyFont="1" applyBorder="1" applyAlignment="1">
      <alignment horizontal="center"/>
    </xf>
    <xf numFmtId="0" fontId="3" fillId="0" borderId="14" xfId="0" quotePrefix="1" applyFont="1" applyBorder="1" applyAlignment="1">
      <alignment horizontal="center"/>
    </xf>
    <xf numFmtId="0" fontId="3" fillId="0" borderId="15" xfId="0" quotePrefix="1" applyFont="1" applyBorder="1" applyAlignment="1">
      <alignment horizontal="center"/>
    </xf>
    <xf numFmtId="0" fontId="3" fillId="0" borderId="24" xfId="0" applyFont="1" applyBorder="1" applyAlignment="1" applyProtection="1">
      <alignment horizontal="center" vertical="center"/>
      <protection locked="0"/>
    </xf>
    <xf numFmtId="0" fontId="27" fillId="0" borderId="11"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0" xfId="0" applyFont="1" applyFill="1" applyBorder="1" applyProtection="1">
      <protection locked="0"/>
    </xf>
    <xf numFmtId="0" fontId="3" fillId="0" borderId="10" xfId="0" applyFont="1" applyBorder="1" applyAlignment="1">
      <alignment horizontal="center"/>
    </xf>
    <xf numFmtId="0" fontId="3" fillId="0" borderId="16" xfId="0" applyFont="1" applyBorder="1" applyAlignment="1">
      <alignment horizontal="center"/>
    </xf>
    <xf numFmtId="0" fontId="27" fillId="0" borderId="18" xfId="0" applyFont="1" applyBorder="1" applyAlignment="1">
      <alignment horizontal="center" vertical="center"/>
    </xf>
    <xf numFmtId="0" fontId="27" fillId="0" borderId="11" xfId="0" applyFont="1" applyBorder="1" applyAlignment="1">
      <alignment horizontal="center" vertical="center"/>
    </xf>
    <xf numFmtId="0" fontId="27" fillId="0" borderId="16" xfId="0" applyFont="1" applyBorder="1" applyAlignment="1">
      <alignment horizontal="center" vertical="center"/>
    </xf>
    <xf numFmtId="0" fontId="27" fillId="0" borderId="14" xfId="0" applyFont="1" applyBorder="1" applyAlignment="1">
      <alignment horizontal="center" vertical="center"/>
    </xf>
    <xf numFmtId="0" fontId="3" fillId="0" borderId="24" xfId="0" applyFont="1" applyBorder="1" applyAlignment="1">
      <alignment horizontal="center"/>
    </xf>
    <xf numFmtId="0" fontId="3" fillId="0" borderId="13" xfId="0" applyFont="1" applyBorder="1" applyAlignment="1">
      <alignment horizontal="center" vertical="center" wrapText="1"/>
    </xf>
    <xf numFmtId="0" fontId="3" fillId="0" borderId="14" xfId="0" applyFont="1" applyFill="1" applyBorder="1" applyAlignment="1">
      <alignment horizontal="center" vertical="center"/>
    </xf>
    <xf numFmtId="0" fontId="6" fillId="0" borderId="19" xfId="0" quotePrefix="1" applyFont="1" applyBorder="1" applyAlignment="1">
      <alignment horizontal="center" vertical="center"/>
    </xf>
    <xf numFmtId="16" fontId="2" fillId="0" borderId="17" xfId="0" quotePrefix="1" applyNumberFormat="1" applyFont="1" applyBorder="1" applyAlignment="1">
      <alignment horizontal="center" vertical="center"/>
    </xf>
    <xf numFmtId="0" fontId="2" fillId="0" borderId="17" xfId="0" quotePrefix="1" applyFont="1" applyBorder="1" applyAlignment="1">
      <alignment horizontal="center" vertical="center"/>
    </xf>
    <xf numFmtId="0" fontId="3" fillId="0" borderId="13" xfId="0" applyFont="1" applyBorder="1" applyAlignment="1">
      <alignment horizontal="left" vertical="center" wrapText="1"/>
    </xf>
    <xf numFmtId="0" fontId="2" fillId="0" borderId="19" xfId="0" applyFont="1" applyBorder="1" applyAlignment="1">
      <alignment vertical="center"/>
    </xf>
    <xf numFmtId="0" fontId="2" fillId="0" borderId="19" xfId="0" quotePrefix="1" applyFont="1" applyBorder="1" applyAlignment="1">
      <alignment horizontal="center" vertical="center"/>
    </xf>
    <xf numFmtId="0" fontId="3" fillId="0" borderId="0" xfId="0" applyFont="1" applyAlignment="1">
      <alignment horizontal="left" vertical="center"/>
    </xf>
    <xf numFmtId="0" fontId="33" fillId="0" borderId="0" xfId="0" applyFont="1" applyAlignment="1">
      <alignment vertical="center"/>
    </xf>
    <xf numFmtId="0" fontId="33" fillId="0" borderId="10" xfId="0" applyFont="1" applyBorder="1" applyAlignment="1">
      <alignment vertical="center"/>
    </xf>
    <xf numFmtId="0" fontId="3" fillId="0" borderId="12" xfId="0" applyFont="1" applyBorder="1" applyAlignment="1">
      <alignment horizontal="center" vertical="center" wrapText="1"/>
    </xf>
    <xf numFmtId="0" fontId="32" fillId="0" borderId="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7" xfId="0" quotePrefix="1" applyFont="1" applyBorder="1" applyAlignment="1">
      <alignment horizontal="center" vertical="center"/>
    </xf>
    <xf numFmtId="0" fontId="27" fillId="0" borderId="0" xfId="0" applyFont="1" applyBorder="1" applyAlignment="1">
      <alignment horizontal="left" vertical="center"/>
    </xf>
    <xf numFmtId="0" fontId="27" fillId="0" borderId="0" xfId="0" applyFont="1" applyAlignment="1">
      <alignment vertical="center"/>
    </xf>
    <xf numFmtId="2" fontId="27" fillId="0" borderId="0" xfId="0" applyNumberFormat="1" applyFont="1"/>
    <xf numFmtId="0" fontId="27" fillId="0" borderId="0" xfId="0" applyFont="1" applyProtection="1">
      <protection locked="0"/>
    </xf>
    <xf numFmtId="0" fontId="27" fillId="0" borderId="0" xfId="0" applyFont="1" applyAlignment="1" applyProtection="1">
      <alignment horizontal="center"/>
      <protection locked="0"/>
    </xf>
    <xf numFmtId="0" fontId="27" fillId="0" borderId="0" xfId="0" applyFont="1" applyBorder="1" applyProtection="1">
      <protection locked="0"/>
    </xf>
    <xf numFmtId="0" fontId="27" fillId="0" borderId="0" xfId="0" applyFont="1" applyBorder="1" applyAlignment="1" applyProtection="1">
      <alignment horizontal="center"/>
      <protection locked="0"/>
    </xf>
    <xf numFmtId="0" fontId="27" fillId="0" borderId="0" xfId="0" applyFont="1" applyBorder="1" applyAlignment="1">
      <alignment horizontal="center"/>
    </xf>
    <xf numFmtId="2" fontId="27" fillId="0" borderId="0" xfId="0" applyNumberFormat="1" applyFont="1" applyBorder="1"/>
    <xf numFmtId="0" fontId="3" fillId="0" borderId="18" xfId="0" applyFont="1" applyBorder="1" applyAlignment="1">
      <alignment horizontal="center" vertical="center" wrapText="1"/>
    </xf>
    <xf numFmtId="0" fontId="2" fillId="0" borderId="0" xfId="0" applyFont="1" applyBorder="1" applyAlignment="1" applyProtection="1">
      <alignment horizontal="center" vertical="center"/>
      <protection locked="0"/>
    </xf>
    <xf numFmtId="2" fontId="3" fillId="0" borderId="17" xfId="0" applyNumberFormat="1" applyFont="1" applyBorder="1" applyAlignment="1">
      <alignment horizontal="center" vertical="center" wrapText="1"/>
    </xf>
    <xf numFmtId="2" fontId="3" fillId="0" borderId="19" xfId="0" quotePrefix="1" applyNumberFormat="1" applyFont="1" applyBorder="1" applyAlignment="1">
      <alignment horizontal="center" vertical="center"/>
    </xf>
    <xf numFmtId="1" fontId="2" fillId="0" borderId="13" xfId="0" applyNumberFormat="1" applyFont="1" applyBorder="1" applyAlignment="1">
      <alignment horizontal="center" vertical="center"/>
    </xf>
    <xf numFmtId="2" fontId="2" fillId="0" borderId="12" xfId="0" applyNumberFormat="1" applyFont="1" applyBorder="1" applyAlignment="1" applyProtection="1">
      <alignment horizontal="center" vertical="center"/>
      <protection locked="0"/>
    </xf>
    <xf numFmtId="0" fontId="27" fillId="0" borderId="13" xfId="0" applyFont="1" applyBorder="1" applyAlignment="1" applyProtection="1">
      <alignment horizontal="center" vertical="center"/>
      <protection locked="0"/>
    </xf>
    <xf numFmtId="1" fontId="27" fillId="0" borderId="13" xfId="0" applyNumberFormat="1" applyFont="1" applyBorder="1" applyAlignment="1">
      <alignment horizontal="center" vertical="center"/>
    </xf>
    <xf numFmtId="2" fontId="27" fillId="0" borderId="13" xfId="0" applyNumberFormat="1" applyFont="1" applyBorder="1" applyAlignment="1" applyProtection="1">
      <alignment horizontal="center" vertical="center"/>
      <protection locked="0"/>
    </xf>
    <xf numFmtId="1" fontId="27" fillId="0" borderId="14" xfId="0" applyNumberFormat="1" applyFont="1" applyBorder="1" applyAlignment="1">
      <alignment horizontal="center" vertical="center"/>
    </xf>
    <xf numFmtId="1" fontId="2" fillId="0" borderId="17" xfId="0" applyNumberFormat="1" applyFont="1" applyBorder="1" applyAlignment="1">
      <alignment horizontal="center" vertical="center"/>
    </xf>
    <xf numFmtId="0" fontId="2" fillId="0" borderId="16" xfId="0" quotePrefix="1" applyFont="1" applyBorder="1" applyAlignment="1">
      <alignment horizontal="center" vertical="center"/>
    </xf>
    <xf numFmtId="0" fontId="3" fillId="0" borderId="20" xfId="0" applyFont="1" applyBorder="1" applyAlignment="1">
      <alignment horizontal="left" vertical="center"/>
    </xf>
    <xf numFmtId="0" fontId="27" fillId="0" borderId="20" xfId="0" applyFont="1" applyBorder="1" applyAlignment="1">
      <alignment horizontal="left" vertical="center"/>
    </xf>
    <xf numFmtId="0" fontId="33" fillId="0" borderId="0" xfId="0" applyFont="1" applyBorder="1"/>
    <xf numFmtId="0" fontId="33" fillId="0" borderId="10" xfId="0" applyFont="1" applyBorder="1"/>
    <xf numFmtId="0" fontId="3" fillId="0" borderId="18" xfId="0" applyFont="1" applyBorder="1" applyAlignment="1">
      <alignment horizontal="center" vertical="top" wrapText="1"/>
    </xf>
    <xf numFmtId="0" fontId="3" fillId="0" borderId="11" xfId="0" applyFont="1" applyBorder="1" applyAlignment="1">
      <alignment horizontal="center" vertical="top" wrapText="1"/>
    </xf>
    <xf numFmtId="1" fontId="3" fillId="0" borderId="19" xfId="0" quotePrefix="1" applyNumberFormat="1" applyFont="1" applyBorder="1" applyAlignment="1">
      <alignment horizontal="center" vertical="center"/>
    </xf>
    <xf numFmtId="1" fontId="27" fillId="0" borderId="0" xfId="0" applyNumberFormat="1" applyFont="1" applyBorder="1" applyAlignment="1">
      <alignment horizontal="center" vertical="center"/>
    </xf>
    <xf numFmtId="0" fontId="27" fillId="0" borderId="14" xfId="0" applyFont="1" applyBorder="1" applyAlignment="1" applyProtection="1">
      <alignment horizontal="center" vertical="center"/>
      <protection locked="0"/>
    </xf>
    <xf numFmtId="1" fontId="27" fillId="0" borderId="10" xfId="0" applyNumberFormat="1" applyFont="1" applyBorder="1" applyAlignment="1">
      <alignment horizontal="center" vertical="center"/>
    </xf>
    <xf numFmtId="0" fontId="3" fillId="0" borderId="0" xfId="0" applyFont="1" applyAlignment="1">
      <alignment horizontal="right" vertical="top"/>
    </xf>
    <xf numFmtId="0" fontId="3" fillId="0" borderId="19" xfId="0" quotePrefix="1" applyFont="1" applyBorder="1" applyAlignment="1">
      <alignment horizontal="center" vertical="center" wrapText="1"/>
    </xf>
    <xf numFmtId="0" fontId="27" fillId="0" borderId="11" xfId="0" applyFont="1" applyBorder="1" applyAlignment="1" applyProtection="1">
      <alignment horizontal="center" vertical="center"/>
      <protection locked="0"/>
    </xf>
    <xf numFmtId="0" fontId="33" fillId="0" borderId="0" xfId="0" applyFont="1" applyBorder="1" applyAlignment="1">
      <alignment vertical="center"/>
    </xf>
    <xf numFmtId="0" fontId="2" fillId="0" borderId="17" xfId="0" applyFont="1" applyBorder="1" applyAlignment="1">
      <alignment horizontal="left" vertical="center"/>
    </xf>
    <xf numFmtId="0" fontId="3" fillId="0" borderId="13" xfId="0" applyFont="1" applyBorder="1" applyAlignment="1">
      <alignment horizontal="left" vertical="center"/>
    </xf>
    <xf numFmtId="0" fontId="27" fillId="0" borderId="0" xfId="0" applyFont="1" applyAlignment="1">
      <alignment horizontal="center" vertical="center"/>
    </xf>
    <xf numFmtId="0" fontId="2" fillId="0" borderId="13"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27" fillId="0" borderId="0" xfId="0" applyFont="1" applyBorder="1" applyAlignment="1" applyProtection="1">
      <alignment vertical="center"/>
      <protection locked="0"/>
    </xf>
    <xf numFmtId="0" fontId="27" fillId="0" borderId="0" xfId="0" applyFont="1" applyBorder="1" applyAlignment="1">
      <alignment vertical="center"/>
    </xf>
    <xf numFmtId="0" fontId="27" fillId="0" borderId="0" xfId="0" applyFont="1" applyAlignment="1">
      <alignment horizontal="right"/>
    </xf>
    <xf numFmtId="0" fontId="32" fillId="0" borderId="0" xfId="0" applyFont="1" applyBorder="1" applyAlignment="1">
      <alignment horizontal="center" vertical="center"/>
    </xf>
    <xf numFmtId="0" fontId="2" fillId="0" borderId="23" xfId="0" applyFont="1" applyBorder="1" applyAlignment="1" applyProtection="1">
      <alignment horizontal="center" vertical="center"/>
      <protection locked="0"/>
    </xf>
    <xf numFmtId="0" fontId="3" fillId="0" borderId="17" xfId="0" applyFont="1" applyBorder="1" applyAlignment="1" applyProtection="1">
      <alignment horizontal="center" vertical="center" wrapText="1"/>
      <protection locked="0"/>
    </xf>
    <xf numFmtId="0" fontId="3" fillId="0" borderId="22" xfId="0" quotePrefix="1" applyFont="1" applyFill="1" applyBorder="1" applyAlignment="1">
      <alignment horizontal="center" vertical="center"/>
    </xf>
    <xf numFmtId="164" fontId="27" fillId="0" borderId="11" xfId="0" applyNumberFormat="1" applyFont="1" applyBorder="1" applyAlignment="1">
      <alignment horizontal="center" vertical="center"/>
    </xf>
    <xf numFmtId="0" fontId="2" fillId="0" borderId="19" xfId="0" applyFont="1" applyFill="1" applyBorder="1" applyAlignment="1">
      <alignment horizontal="center" vertical="center" wrapText="1"/>
    </xf>
    <xf numFmtId="164" fontId="2" fillId="0" borderId="23" xfId="0" applyNumberFormat="1" applyFont="1" applyBorder="1" applyAlignment="1">
      <alignment horizontal="center" vertical="center"/>
    </xf>
    <xf numFmtId="2" fontId="2" fillId="0" borderId="24" xfId="0" applyNumberFormat="1" applyFont="1" applyBorder="1" applyAlignment="1">
      <alignment horizontal="center" vertical="center"/>
    </xf>
    <xf numFmtId="2" fontId="2" fillId="0" borderId="23" xfId="0" applyNumberFormat="1" applyFont="1" applyBorder="1" applyAlignment="1">
      <alignment horizontal="center" vertical="center"/>
    </xf>
    <xf numFmtId="0" fontId="3" fillId="0" borderId="20" xfId="0" applyFont="1" applyBorder="1" applyAlignment="1">
      <alignment horizontal="right"/>
    </xf>
    <xf numFmtId="2" fontId="3" fillId="0" borderId="13" xfId="0" quotePrefix="1" applyNumberFormat="1" applyFont="1" applyBorder="1" applyAlignment="1">
      <alignment horizontal="center" vertical="center" wrapText="1"/>
    </xf>
    <xf numFmtId="2" fontId="27" fillId="0" borderId="0" xfId="0" quotePrefix="1" applyNumberFormat="1" applyFont="1" applyBorder="1" applyAlignment="1" applyProtection="1">
      <alignment horizontal="center" vertical="center"/>
      <protection locked="0"/>
    </xf>
    <xf numFmtId="2" fontId="27" fillId="0" borderId="11" xfId="0" quotePrefix="1" applyNumberFormat="1" applyFont="1" applyBorder="1" applyAlignment="1" applyProtection="1">
      <alignment horizontal="center" vertical="center"/>
      <protection locked="0"/>
    </xf>
    <xf numFmtId="2" fontId="27" fillId="0" borderId="11" xfId="0" quotePrefix="1" applyNumberFormat="1" applyFont="1" applyFill="1" applyBorder="1" applyAlignment="1">
      <alignment horizontal="center" vertical="center"/>
    </xf>
    <xf numFmtId="2" fontId="3" fillId="0" borderId="13" xfId="0" quotePrefix="1" applyNumberFormat="1" applyFont="1" applyBorder="1" applyAlignment="1">
      <alignment horizontal="center" vertical="center"/>
    </xf>
    <xf numFmtId="2" fontId="27" fillId="0" borderId="0" xfId="0" applyNumberFormat="1" applyFont="1" applyBorder="1" applyAlignment="1" applyProtection="1">
      <alignment horizontal="center" vertical="center"/>
      <protection locked="0"/>
    </xf>
    <xf numFmtId="2" fontId="27" fillId="0" borderId="11" xfId="0" applyNumberFormat="1" applyFont="1" applyBorder="1" applyAlignment="1" applyProtection="1">
      <alignment horizontal="center" vertical="center"/>
      <protection locked="0"/>
    </xf>
    <xf numFmtId="2" fontId="3" fillId="0" borderId="13" xfId="0" applyNumberFormat="1" applyFont="1" applyBorder="1" applyAlignment="1">
      <alignment horizontal="center" vertical="center" wrapText="1"/>
    </xf>
    <xf numFmtId="0" fontId="27" fillId="0" borderId="0" xfId="0" quotePrefix="1" applyFont="1"/>
    <xf numFmtId="2" fontId="2" fillId="0" borderId="11" xfId="0" applyNumberFormat="1" applyFont="1" applyBorder="1" applyAlignment="1">
      <alignment horizontal="center" vertical="center"/>
    </xf>
    <xf numFmtId="0" fontId="27" fillId="0" borderId="12"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 fillId="0" borderId="24" xfId="0" quotePrefix="1" applyFont="1" applyBorder="1" applyAlignment="1" applyProtection="1">
      <alignment horizontal="center" vertical="center"/>
      <protection locked="0"/>
    </xf>
    <xf numFmtId="0" fontId="3" fillId="0" borderId="2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7" xfId="0" applyFont="1" applyBorder="1" applyAlignment="1">
      <alignment vertical="center"/>
    </xf>
    <xf numFmtId="0" fontId="8" fillId="0" borderId="17" xfId="0" applyFont="1" applyBorder="1" applyAlignment="1">
      <alignment horizontal="center" vertical="center"/>
    </xf>
    <xf numFmtId="0" fontId="3" fillId="0" borderId="14" xfId="0" applyFont="1" applyBorder="1" applyAlignment="1" applyProtection="1">
      <alignment horizontal="left" vertical="center"/>
      <protection locked="0"/>
    </xf>
    <xf numFmtId="0" fontId="3" fillId="0" borderId="2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1" xfId="0" quotePrefix="1" applyFont="1" applyBorder="1" applyAlignment="1">
      <alignment vertical="center"/>
    </xf>
    <xf numFmtId="0" fontId="27" fillId="0" borderId="13" xfId="0" applyFont="1" applyBorder="1" applyAlignment="1">
      <alignment vertical="center"/>
    </xf>
    <xf numFmtId="0" fontId="27" fillId="0" borderId="0" xfId="0" applyFont="1" applyAlignment="1" applyProtection="1">
      <alignment horizontal="center" vertical="center"/>
      <protection locked="0"/>
    </xf>
    <xf numFmtId="2" fontId="27" fillId="0" borderId="13" xfId="0" applyNumberFormat="1" applyFont="1" applyBorder="1" applyAlignment="1">
      <alignment horizontal="center" vertical="center"/>
    </xf>
    <xf numFmtId="0" fontId="2" fillId="0" borderId="11" xfId="0" applyFont="1" applyBorder="1" applyAlignment="1">
      <alignment horizontal="left" vertical="center"/>
    </xf>
    <xf numFmtId="0" fontId="2" fillId="0" borderId="0" xfId="0" applyFont="1" applyBorder="1" applyAlignment="1">
      <alignment horizontal="left" vertical="center"/>
    </xf>
    <xf numFmtId="0" fontId="2" fillId="0" borderId="12" xfId="0" applyFont="1" applyBorder="1" applyAlignment="1">
      <alignment horizontal="left" vertical="center"/>
    </xf>
    <xf numFmtId="0" fontId="3" fillId="0" borderId="15" xfId="0" applyFont="1" applyBorder="1" applyAlignment="1">
      <alignment vertical="center"/>
    </xf>
    <xf numFmtId="2" fontId="27" fillId="0" borderId="0" xfId="0" applyNumberFormat="1" applyFont="1" applyAlignment="1">
      <alignment vertical="center"/>
    </xf>
    <xf numFmtId="0" fontId="27" fillId="0" borderId="10" xfId="0" applyFont="1" applyBorder="1" applyAlignment="1">
      <alignment vertical="center"/>
    </xf>
    <xf numFmtId="0" fontId="2" fillId="0" borderId="1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27" fillId="0" borderId="16" xfId="0" applyFont="1" applyBorder="1" applyAlignment="1" applyProtection="1">
      <alignment horizontal="center" vertical="center"/>
      <protection locked="0"/>
    </xf>
    <xf numFmtId="0" fontId="27" fillId="0" borderId="10" xfId="0" applyFont="1" applyBorder="1" applyAlignment="1" applyProtection="1">
      <alignment horizontal="center" vertical="center"/>
      <protection locked="0"/>
    </xf>
    <xf numFmtId="2" fontId="27" fillId="0" borderId="11" xfId="0" applyNumberFormat="1" applyFont="1" applyBorder="1" applyAlignment="1" applyProtection="1">
      <alignment horizontal="center" vertical="center"/>
    </xf>
    <xf numFmtId="2" fontId="27" fillId="0" borderId="13" xfId="0" applyNumberFormat="1" applyFont="1" applyBorder="1" applyAlignment="1" applyProtection="1">
      <alignment horizontal="center" vertical="center"/>
    </xf>
    <xf numFmtId="2" fontId="2" fillId="0" borderId="22" xfId="0" applyNumberFormat="1" applyFont="1" applyBorder="1" applyAlignment="1">
      <alignment horizontal="center" vertical="center"/>
    </xf>
    <xf numFmtId="1" fontId="2" fillId="0" borderId="22" xfId="0" applyNumberFormat="1" applyFont="1" applyBorder="1" applyAlignment="1">
      <alignment horizontal="center" vertical="center"/>
    </xf>
    <xf numFmtId="2" fontId="2" fillId="0" borderId="19" xfId="0" applyNumberFormat="1" applyFont="1" applyBorder="1" applyAlignment="1">
      <alignment horizontal="center" vertical="center"/>
    </xf>
    <xf numFmtId="0" fontId="23" fillId="0" borderId="13" xfId="0" applyFont="1" applyBorder="1" applyAlignment="1" applyProtection="1">
      <alignment horizontal="left" vertical="center"/>
      <protection locked="0"/>
    </xf>
    <xf numFmtId="0" fontId="27" fillId="0" borderId="0" xfId="0" quotePrefix="1" applyFont="1" applyAlignment="1">
      <alignment vertical="center"/>
    </xf>
    <xf numFmtId="0" fontId="3" fillId="0" borderId="10" xfId="0" applyFont="1" applyBorder="1" applyAlignment="1" applyProtection="1">
      <alignment horizontal="right" vertical="center"/>
      <protection locked="0"/>
    </xf>
    <xf numFmtId="0" fontId="3" fillId="0" borderId="22" xfId="0" quotePrefix="1" applyFont="1" applyBorder="1" applyAlignment="1" applyProtection="1">
      <alignment horizontal="center" vertical="center"/>
      <protection locked="0"/>
    </xf>
    <xf numFmtId="0" fontId="3" fillId="0" borderId="19" xfId="0" quotePrefix="1" applyFont="1" applyBorder="1" applyAlignment="1" applyProtection="1">
      <alignment horizontal="center" vertical="center"/>
      <protection locked="0"/>
    </xf>
    <xf numFmtId="0" fontId="3" fillId="0" borderId="23" xfId="0" quotePrefix="1" applyFont="1" applyBorder="1" applyAlignment="1" applyProtection="1">
      <alignment horizontal="center" vertical="center"/>
      <protection locked="0"/>
    </xf>
    <xf numFmtId="0" fontId="3" fillId="0" borderId="24" xfId="0" quotePrefix="1" applyFont="1" applyBorder="1" applyAlignment="1" applyProtection="1">
      <alignment horizontal="center" vertical="center"/>
      <protection locked="0"/>
    </xf>
    <xf numFmtId="0" fontId="27" fillId="0" borderId="0" xfId="0" applyFont="1" applyBorder="1" applyAlignment="1" applyProtection="1">
      <alignment horizontal="center" vertical="center"/>
    </xf>
    <xf numFmtId="0" fontId="2" fillId="0" borderId="11" xfId="0" applyFont="1" applyBorder="1" applyAlignment="1">
      <alignment vertical="center" shrinkToFit="1"/>
    </xf>
    <xf numFmtId="0" fontId="2" fillId="0" borderId="17" xfId="0" applyFont="1" applyBorder="1" applyAlignment="1" applyProtection="1">
      <alignment horizontal="center" vertical="center"/>
      <protection locked="0"/>
    </xf>
    <xf numFmtId="0" fontId="3" fillId="0" borderId="11" xfId="0" applyFont="1" applyBorder="1" applyAlignment="1">
      <alignment vertical="center" shrinkToFit="1"/>
    </xf>
    <xf numFmtId="0" fontId="27" fillId="0" borderId="13" xfId="0" quotePrefix="1" applyFont="1" applyBorder="1" applyAlignment="1">
      <alignment horizontal="center" vertical="center"/>
    </xf>
    <xf numFmtId="0" fontId="27" fillId="0" borderId="12" xfId="0" applyFont="1" applyBorder="1" applyAlignment="1" applyProtection="1">
      <alignment horizontal="center" vertical="center"/>
    </xf>
    <xf numFmtId="0" fontId="27" fillId="0" borderId="0" xfId="0" quotePrefix="1" applyFont="1" applyBorder="1" applyAlignment="1">
      <alignment horizontal="center" vertical="center"/>
    </xf>
    <xf numFmtId="0" fontId="3" fillId="0" borderId="16" xfId="0" applyFont="1" applyBorder="1" applyAlignment="1">
      <alignment vertical="center" shrinkToFit="1"/>
    </xf>
    <xf numFmtId="0" fontId="27" fillId="0" borderId="14" xfId="0" quotePrefix="1" applyFont="1" applyBorder="1" applyAlignment="1">
      <alignment horizontal="center" vertical="center"/>
    </xf>
    <xf numFmtId="0" fontId="27" fillId="0" borderId="15" xfId="0" applyFont="1" applyBorder="1" applyAlignment="1" applyProtection="1">
      <alignment horizontal="center" vertical="center"/>
    </xf>
    <xf numFmtId="0" fontId="3" fillId="0" borderId="0" xfId="0" applyFont="1" applyAlignment="1" applyProtection="1">
      <alignment vertical="center"/>
      <protection locked="0"/>
    </xf>
    <xf numFmtId="0" fontId="27" fillId="0" borderId="0" xfId="0" applyFont="1" applyAlignment="1" applyProtection="1">
      <alignment vertical="center"/>
      <protection locked="0"/>
    </xf>
    <xf numFmtId="0" fontId="33" fillId="0" borderId="0" xfId="0" applyFont="1" applyProtection="1">
      <protection locked="0"/>
    </xf>
    <xf numFmtId="0" fontId="33" fillId="0" borderId="0" xfId="0" applyFont="1" applyAlignment="1" applyProtection="1">
      <alignment vertical="center"/>
      <protection locked="0"/>
    </xf>
    <xf numFmtId="0" fontId="33" fillId="0" borderId="10" xfId="0" applyFont="1" applyBorder="1" applyAlignment="1" applyProtection="1">
      <alignment vertical="center"/>
      <protection locked="0"/>
    </xf>
    <xf numFmtId="0" fontId="3" fillId="0" borderId="17"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3" fillId="0" borderId="15" xfId="0" quotePrefix="1"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27" fillId="0" borderId="17" xfId="0" applyFont="1" applyBorder="1" applyAlignment="1" applyProtection="1">
      <alignment horizontal="center" vertical="center"/>
      <protection locked="0"/>
    </xf>
    <xf numFmtId="0" fontId="3" fillId="0" borderId="19" xfId="0" applyFont="1" applyBorder="1" applyAlignment="1" applyProtection="1">
      <alignment horizontal="center" vertical="center" wrapText="1"/>
      <protection locked="0"/>
    </xf>
    <xf numFmtId="0" fontId="2" fillId="0" borderId="13" xfId="0" applyFont="1" applyBorder="1" applyAlignment="1" applyProtection="1">
      <alignment vertical="center" shrinkToFit="1"/>
      <protection locked="0"/>
    </xf>
    <xf numFmtId="0" fontId="3" fillId="0" borderId="13" xfId="0" applyFont="1" applyBorder="1" applyAlignment="1" applyProtection="1">
      <alignment vertical="center" shrinkToFit="1"/>
      <protection locked="0"/>
    </xf>
    <xf numFmtId="0" fontId="27" fillId="0" borderId="11" xfId="0" quotePrefix="1" applyFont="1" applyBorder="1" applyAlignment="1" applyProtection="1">
      <alignment horizontal="center" vertical="center"/>
      <protection locked="0"/>
    </xf>
    <xf numFmtId="0" fontId="27" fillId="0" borderId="13" xfId="0" quotePrefix="1" applyFont="1" applyBorder="1" applyAlignment="1" applyProtection="1">
      <alignment horizontal="center" vertical="center"/>
      <protection locked="0"/>
    </xf>
    <xf numFmtId="0" fontId="3" fillId="0" borderId="14" xfId="0" applyFont="1" applyBorder="1" applyAlignment="1" applyProtection="1">
      <alignment vertical="center" shrinkToFit="1"/>
      <protection locked="0"/>
    </xf>
    <xf numFmtId="0" fontId="3" fillId="0" borderId="0" xfId="0" applyFont="1" applyAlignment="1" applyProtection="1">
      <alignment horizontal="right" vertical="center"/>
      <protection locked="0"/>
    </xf>
    <xf numFmtId="0" fontId="2" fillId="0" borderId="13" xfId="0" applyFont="1" applyBorder="1" applyAlignment="1" applyProtection="1">
      <alignment vertical="center"/>
      <protection locked="0"/>
    </xf>
    <xf numFmtId="0" fontId="3" fillId="0" borderId="13" xfId="0" applyFont="1" applyBorder="1" applyAlignment="1" applyProtection="1">
      <alignment vertical="center"/>
      <protection locked="0"/>
    </xf>
    <xf numFmtId="0" fontId="3" fillId="0" borderId="14" xfId="0" applyFont="1" applyBorder="1" applyAlignment="1" applyProtection="1">
      <alignment vertical="center"/>
      <protection locked="0"/>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2"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27" fillId="0" borderId="14" xfId="0" applyFont="1" applyBorder="1" applyAlignment="1" applyProtection="1">
      <alignment horizontal="center" vertical="center"/>
    </xf>
    <xf numFmtId="0" fontId="3" fillId="0" borderId="10" xfId="0" applyFont="1" applyBorder="1" applyAlignment="1">
      <alignment horizontal="right" vertical="center" wrapText="1"/>
    </xf>
    <xf numFmtId="0" fontId="3" fillId="0" borderId="14" xfId="0" quotePrefix="1" applyFont="1" applyBorder="1" applyAlignment="1">
      <alignment horizontal="center" vertical="center" wrapText="1"/>
    </xf>
    <xf numFmtId="0" fontId="3" fillId="0" borderId="0" xfId="0" applyFont="1" applyAlignment="1" applyProtection="1">
      <alignment horizontal="right"/>
      <protection locked="0"/>
    </xf>
    <xf numFmtId="0" fontId="27" fillId="0" borderId="11" xfId="0" applyFont="1" applyBorder="1" applyAlignment="1">
      <alignment vertical="center"/>
    </xf>
    <xf numFmtId="0" fontId="3" fillId="0" borderId="11" xfId="0" applyFont="1" applyBorder="1" applyAlignment="1">
      <alignment vertical="top"/>
    </xf>
    <xf numFmtId="0" fontId="2" fillId="0" borderId="13"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3" xfId="0" quotePrefix="1" applyFont="1" applyBorder="1" applyAlignment="1">
      <alignment horizontal="center" vertical="top"/>
    </xf>
    <xf numFmtId="0" fontId="2" fillId="0" borderId="14" xfId="0" quotePrefix="1" applyFont="1" applyBorder="1" applyAlignment="1">
      <alignment horizontal="center" vertical="center"/>
    </xf>
    <xf numFmtId="0" fontId="3" fillId="0" borderId="19" xfId="0" applyFont="1" applyFill="1" applyBorder="1" applyAlignment="1">
      <alignment horizontal="center" vertical="center"/>
    </xf>
    <xf numFmtId="0" fontId="3" fillId="0" borderId="15" xfId="0" applyFont="1" applyFill="1" applyBorder="1" applyAlignment="1">
      <alignment horizontal="center" vertical="center"/>
    </xf>
    <xf numFmtId="0" fontId="27" fillId="0" borderId="13" xfId="0" quotePrefix="1" applyFont="1" applyBorder="1" applyAlignment="1">
      <alignment horizontal="center"/>
    </xf>
    <xf numFmtId="0" fontId="27" fillId="0" borderId="12" xfId="0" quotePrefix="1" applyFont="1" applyBorder="1" applyAlignment="1">
      <alignment horizontal="center"/>
    </xf>
    <xf numFmtId="0" fontId="3" fillId="0" borderId="12" xfId="0" applyFont="1" applyBorder="1" applyAlignment="1">
      <alignment vertical="center" wrapText="1"/>
    </xf>
    <xf numFmtId="0" fontId="27" fillId="0" borderId="12" xfId="0" quotePrefix="1" applyFont="1" applyBorder="1" applyAlignment="1">
      <alignment horizontal="center" vertical="center"/>
    </xf>
    <xf numFmtId="0" fontId="27" fillId="0" borderId="14" xfId="0" quotePrefix="1" applyFont="1" applyBorder="1" applyAlignment="1">
      <alignment horizontal="center"/>
    </xf>
    <xf numFmtId="0" fontId="27" fillId="0" borderId="22" xfId="0" applyFont="1" applyBorder="1" applyAlignment="1">
      <alignment vertical="center"/>
    </xf>
    <xf numFmtId="0" fontId="3" fillId="0" borderId="0" xfId="0" applyFont="1" applyBorder="1" applyAlignment="1" applyProtection="1">
      <alignment vertical="center"/>
      <protection locked="0"/>
    </xf>
    <xf numFmtId="0" fontId="27" fillId="0" borderId="11" xfId="0" applyFont="1" applyBorder="1"/>
    <xf numFmtId="0" fontId="3" fillId="0" borderId="13" xfId="0" quotePrefix="1" applyFont="1" applyBorder="1" applyAlignment="1">
      <alignment horizontal="center" vertical="top"/>
    </xf>
    <xf numFmtId="0" fontId="3" fillId="0" borderId="0" xfId="0" applyFont="1" applyAlignment="1" applyProtection="1">
      <alignment horizontal="left" vertical="center"/>
      <protection locked="0"/>
    </xf>
    <xf numFmtId="0" fontId="3" fillId="0" borderId="19" xfId="0" quotePrefix="1" applyFont="1" applyBorder="1" applyAlignment="1">
      <alignment horizontal="center"/>
    </xf>
    <xf numFmtId="0" fontId="3" fillId="0" borderId="19" xfId="0" quotePrefix="1" applyFont="1" applyFill="1" applyBorder="1" applyAlignment="1">
      <alignment horizontal="center"/>
    </xf>
    <xf numFmtId="0" fontId="2" fillId="0" borderId="11" xfId="0" quotePrefix="1" applyFont="1" applyBorder="1" applyAlignment="1">
      <alignment horizontal="left"/>
    </xf>
    <xf numFmtId="0" fontId="7" fillId="0" borderId="12" xfId="0" applyFont="1" applyBorder="1"/>
    <xf numFmtId="0" fontId="2" fillId="0" borderId="11" xfId="0" quotePrefix="1" applyFont="1" applyBorder="1" applyAlignment="1">
      <alignment horizontal="left" vertical="top"/>
    </xf>
    <xf numFmtId="0" fontId="2" fillId="0" borderId="16" xfId="0" quotePrefix="1" applyFont="1" applyBorder="1" applyAlignment="1">
      <alignment horizontal="left"/>
    </xf>
    <xf numFmtId="0" fontId="3" fillId="0" borderId="0" xfId="0" applyFont="1" applyAlignment="1" applyProtection="1">
      <protection locked="0"/>
    </xf>
    <xf numFmtId="0" fontId="27" fillId="0" borderId="12" xfId="0" applyFont="1" applyBorder="1"/>
    <xf numFmtId="0" fontId="27" fillId="0" borderId="13" xfId="0" applyFont="1" applyFill="1" applyBorder="1" applyAlignment="1" applyProtection="1">
      <alignment horizontal="center" vertical="center"/>
      <protection locked="0"/>
    </xf>
    <xf numFmtId="0" fontId="27" fillId="0" borderId="12" xfId="0" applyFont="1" applyFill="1" applyBorder="1" applyAlignment="1" applyProtection="1">
      <alignment horizontal="center" vertical="center"/>
      <protection locked="0"/>
    </xf>
    <xf numFmtId="0" fontId="3" fillId="0" borderId="12" xfId="0" applyFont="1" applyBorder="1" applyAlignment="1">
      <alignment vertical="top" wrapText="1"/>
    </xf>
    <xf numFmtId="0" fontId="27" fillId="0" borderId="0" xfId="0" quotePrefix="1" applyFont="1" applyAlignment="1">
      <alignment horizontal="center" vertical="center"/>
    </xf>
    <xf numFmtId="0" fontId="27" fillId="0" borderId="13" xfId="0" quotePrefix="1" applyFont="1" applyFill="1" applyBorder="1" applyAlignment="1" applyProtection="1">
      <alignment horizontal="center" vertical="center"/>
      <protection locked="0"/>
    </xf>
    <xf numFmtId="0" fontId="27" fillId="0" borderId="12" xfId="0" quotePrefix="1" applyFont="1" applyFill="1" applyBorder="1" applyAlignment="1" applyProtection="1">
      <alignment horizontal="center" vertical="center"/>
      <protection locked="0"/>
    </xf>
    <xf numFmtId="0" fontId="3" fillId="0" borderId="12" xfId="0" applyFont="1" applyBorder="1" applyAlignment="1">
      <alignment wrapText="1"/>
    </xf>
    <xf numFmtId="0" fontId="27" fillId="0" borderId="16" xfId="0" quotePrefix="1" applyFont="1" applyBorder="1" applyAlignment="1">
      <alignment horizontal="center" vertical="center"/>
    </xf>
    <xf numFmtId="0" fontId="27" fillId="0" borderId="16" xfId="0" applyFont="1" applyBorder="1"/>
    <xf numFmtId="0" fontId="3" fillId="0" borderId="20" xfId="0" applyFont="1" applyBorder="1" applyAlignment="1" applyProtection="1">
      <alignment vertical="top"/>
      <protection locked="0"/>
    </xf>
    <xf numFmtId="0" fontId="3" fillId="0" borderId="0" xfId="0" applyFont="1" applyAlignment="1" applyProtection="1">
      <alignment vertical="top"/>
      <protection locked="0"/>
    </xf>
    <xf numFmtId="0" fontId="33" fillId="0" borderId="10" xfId="0" applyFont="1" applyBorder="1" applyAlignment="1">
      <alignment horizontal="right" vertical="center"/>
    </xf>
    <xf numFmtId="0" fontId="27" fillId="0" borderId="11" xfId="0" quotePrefix="1" applyFont="1" applyBorder="1" applyAlignment="1">
      <alignment horizontal="center" vertical="center"/>
    </xf>
    <xf numFmtId="0" fontId="3" fillId="0" borderId="24" xfId="0" applyFont="1" applyFill="1" applyBorder="1" applyAlignment="1">
      <alignment horizontal="center" vertical="center"/>
    </xf>
    <xf numFmtId="0" fontId="2" fillId="0" borderId="11" xfId="0" quotePrefix="1" applyFont="1" applyBorder="1" applyAlignment="1">
      <alignment horizontal="left" vertical="center"/>
    </xf>
    <xf numFmtId="0" fontId="3" fillId="0" borderId="23" xfId="0" applyFont="1" applyBorder="1" applyAlignment="1">
      <alignment horizontal="center" vertical="center" wrapText="1"/>
    </xf>
    <xf numFmtId="0" fontId="2" fillId="0" borderId="16" xfId="0" quotePrefix="1" applyFont="1" applyBorder="1" applyAlignment="1">
      <alignment horizontal="left" vertical="center"/>
    </xf>
    <xf numFmtId="0" fontId="2" fillId="0" borderId="14"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6" fillId="0" borderId="0" xfId="0" applyFont="1" applyAlignment="1" applyProtection="1">
      <alignment vertical="center"/>
      <protection locked="0"/>
    </xf>
    <xf numFmtId="0" fontId="27" fillId="0" borderId="15" xfId="0" quotePrefix="1" applyFont="1" applyBorder="1" applyAlignment="1">
      <alignment horizontal="center" vertical="center"/>
    </xf>
    <xf numFmtId="0" fontId="3" fillId="0" borderId="0" xfId="0" applyFont="1" applyBorder="1" applyAlignment="1" applyProtection="1">
      <alignment vertical="top"/>
      <protection locked="0"/>
    </xf>
    <xf numFmtId="0" fontId="2" fillId="0" borderId="11" xfId="0" applyFont="1" applyBorder="1" applyAlignment="1">
      <alignment horizontal="center" vertical="center" wrapText="1"/>
    </xf>
    <xf numFmtId="0" fontId="3" fillId="0" borderId="11" xfId="0" applyFont="1" applyBorder="1"/>
    <xf numFmtId="0" fontId="2" fillId="0" borderId="11"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3" fillId="0" borderId="23" xfId="0" quotePrefix="1" applyFont="1" applyFill="1" applyBorder="1" applyAlignment="1">
      <alignment horizontal="center" vertical="center"/>
    </xf>
    <xf numFmtId="2" fontId="2" fillId="0" borderId="10" xfId="0" applyNumberFormat="1" applyFont="1" applyBorder="1" applyAlignment="1">
      <alignment horizontal="center" vertical="center"/>
    </xf>
    <xf numFmtId="2" fontId="2" fillId="0" borderId="15" xfId="0" applyNumberFormat="1" applyFont="1" applyBorder="1" applyAlignment="1">
      <alignment horizontal="center" vertical="center"/>
    </xf>
    <xf numFmtId="0" fontId="3" fillId="0" borderId="16" xfId="0" quotePrefix="1" applyFont="1" applyBorder="1" applyAlignment="1">
      <alignment horizontal="center" vertical="center"/>
    </xf>
    <xf numFmtId="0" fontId="3" fillId="0" borderId="16" xfId="0" applyFont="1" applyFill="1" applyBorder="1" applyAlignment="1">
      <alignment horizontal="center" vertical="center"/>
    </xf>
    <xf numFmtId="0" fontId="2" fillId="0" borderId="11" xfId="0" applyFont="1" applyBorder="1" applyAlignment="1" applyProtection="1">
      <alignment horizontal="left" vertical="center" wrapText="1"/>
      <protection locked="0"/>
    </xf>
    <xf numFmtId="0" fontId="27" fillId="0" borderId="0" xfId="0" applyFont="1" applyAlignment="1">
      <alignment vertical="top"/>
    </xf>
    <xf numFmtId="0" fontId="36" fillId="0" borderId="0" xfId="0" applyFont="1"/>
    <xf numFmtId="0" fontId="36" fillId="0" borderId="0" xfId="0" applyFont="1" applyAlignment="1">
      <alignment vertical="center"/>
    </xf>
    <xf numFmtId="0" fontId="27" fillId="0" borderId="18" xfId="0" applyFont="1" applyBorder="1" applyAlignment="1" applyProtection="1">
      <alignment horizontal="center" vertical="center"/>
      <protection locked="0"/>
    </xf>
    <xf numFmtId="0" fontId="36" fillId="0" borderId="10" xfId="0" applyFont="1" applyBorder="1" applyAlignment="1">
      <alignment vertical="center"/>
    </xf>
    <xf numFmtId="0" fontId="3" fillId="0" borderId="10" xfId="0" quotePrefix="1" applyFont="1" applyBorder="1" applyAlignment="1">
      <alignment horizontal="center" vertical="center" wrapText="1"/>
    </xf>
    <xf numFmtId="0" fontId="27" fillId="0" borderId="19" xfId="0" applyFont="1" applyBorder="1" applyAlignment="1">
      <alignment horizontal="center" vertical="center"/>
    </xf>
    <xf numFmtId="0" fontId="27" fillId="0" borderId="23" xfId="0" applyFont="1" applyBorder="1" applyAlignment="1">
      <alignment horizontal="center" vertical="center"/>
    </xf>
    <xf numFmtId="2" fontId="27" fillId="0" borderId="14" xfId="0" applyNumberFormat="1" applyFont="1" applyBorder="1" applyAlignment="1">
      <alignment horizontal="center" vertical="center" wrapText="1"/>
    </xf>
    <xf numFmtId="0" fontId="27" fillId="0" borderId="0" xfId="0" applyFont="1" applyBorder="1" applyAlignment="1" applyProtection="1">
      <alignment horizontal="left"/>
      <protection locked="0"/>
    </xf>
    <xf numFmtId="0" fontId="3" fillId="0" borderId="16" xfId="0" applyFont="1" applyBorder="1" applyAlignment="1">
      <alignment horizontal="right"/>
    </xf>
    <xf numFmtId="164" fontId="2" fillId="0" borderId="14" xfId="0" applyNumberFormat="1" applyFont="1" applyBorder="1" applyAlignment="1">
      <alignment horizontal="center" vertical="center"/>
    </xf>
    <xf numFmtId="0" fontId="3" fillId="0" borderId="0" xfId="0" applyFont="1" applyBorder="1" applyAlignment="1">
      <alignment horizontal="left"/>
    </xf>
    <xf numFmtId="0" fontId="27" fillId="0" borderId="17" xfId="0" applyFont="1" applyBorder="1" applyAlignment="1">
      <alignment vertical="center"/>
    </xf>
    <xf numFmtId="164" fontId="2" fillId="0" borderId="13" xfId="0" applyNumberFormat="1" applyFont="1" applyBorder="1" applyAlignment="1">
      <alignment horizontal="center" vertical="center"/>
    </xf>
    <xf numFmtId="0" fontId="3" fillId="0" borderId="0" xfId="0" applyFont="1" applyBorder="1" applyAlignment="1">
      <alignment horizontal="center" vertical="top"/>
    </xf>
    <xf numFmtId="164" fontId="2" fillId="0" borderId="12" xfId="0" applyNumberFormat="1" applyFont="1" applyBorder="1" applyAlignment="1">
      <alignment horizontal="center" vertical="center"/>
    </xf>
    <xf numFmtId="0" fontId="27" fillId="0" borderId="12" xfId="0" applyFont="1" applyBorder="1" applyAlignment="1">
      <alignment vertical="center"/>
    </xf>
    <xf numFmtId="164" fontId="2" fillId="0" borderId="15" xfId="0" applyNumberFormat="1" applyFont="1" applyBorder="1" applyAlignment="1">
      <alignment horizontal="center" vertical="center"/>
    </xf>
    <xf numFmtId="0" fontId="3" fillId="0" borderId="11" xfId="0" quotePrefix="1" applyFont="1" applyBorder="1" applyAlignment="1">
      <alignment vertical="center"/>
    </xf>
    <xf numFmtId="164" fontId="27" fillId="0" borderId="13" xfId="0" applyNumberFormat="1" applyFont="1" applyBorder="1" applyAlignment="1">
      <alignment horizontal="center" vertical="center"/>
    </xf>
    <xf numFmtId="164" fontId="27" fillId="0" borderId="12" xfId="0" applyNumberFormat="1" applyFont="1" applyBorder="1" applyAlignment="1">
      <alignment horizontal="center" vertical="center"/>
    </xf>
    <xf numFmtId="0" fontId="27" fillId="0" borderId="16" xfId="0" applyFont="1" applyBorder="1" applyAlignment="1">
      <alignment vertical="center"/>
    </xf>
    <xf numFmtId="0" fontId="2" fillId="0" borderId="15" xfId="0" applyFont="1" applyBorder="1" applyAlignment="1">
      <alignment horizontal="left" vertical="center" wrapText="1"/>
    </xf>
    <xf numFmtId="0" fontId="3" fillId="0" borderId="10" xfId="0" quotePrefix="1" applyFont="1" applyBorder="1" applyAlignment="1">
      <alignment horizontal="center" vertical="center"/>
    </xf>
    <xf numFmtId="0" fontId="27" fillId="0" borderId="12" xfId="0" applyFont="1" applyFill="1" applyBorder="1" applyAlignment="1">
      <alignment horizontal="center" vertical="center"/>
    </xf>
    <xf numFmtId="0" fontId="3" fillId="0" borderId="14" xfId="0" applyFont="1" applyBorder="1" applyAlignment="1">
      <alignment horizontal="left" vertical="center"/>
    </xf>
    <xf numFmtId="0" fontId="27" fillId="0" borderId="0" xfId="0" applyFont="1" applyAlignment="1">
      <alignment horizontal="right" vertical="center"/>
    </xf>
    <xf numFmtId="0" fontId="2" fillId="0" borderId="21" xfId="0" applyFont="1" applyBorder="1" applyAlignment="1">
      <alignment vertical="center"/>
    </xf>
    <xf numFmtId="0" fontId="27" fillId="0" borderId="11" xfId="0" applyFont="1" applyBorder="1" applyAlignment="1" applyProtection="1">
      <alignment vertical="center"/>
      <protection locked="0"/>
    </xf>
    <xf numFmtId="0" fontId="27" fillId="0" borderId="12" xfId="0" applyFont="1" applyBorder="1" applyAlignment="1" applyProtection="1">
      <alignment vertical="center"/>
      <protection locked="0"/>
    </xf>
    <xf numFmtId="0" fontId="27" fillId="0" borderId="20" xfId="0" applyFont="1" applyBorder="1" applyAlignment="1" applyProtection="1">
      <alignment vertical="center"/>
      <protection locked="0"/>
    </xf>
    <xf numFmtId="0" fontId="27" fillId="0" borderId="21" xfId="0" applyFont="1" applyBorder="1" applyAlignment="1" applyProtection="1">
      <alignment vertical="center"/>
      <protection locked="0"/>
    </xf>
    <xf numFmtId="2" fontId="2" fillId="0" borderId="22" xfId="0" applyNumberFormat="1" applyFont="1" applyBorder="1" applyAlignment="1" applyProtection="1">
      <alignment horizontal="center" vertical="center"/>
    </xf>
    <xf numFmtId="2" fontId="2" fillId="0" borderId="23" xfId="0" applyNumberFormat="1" applyFont="1" applyBorder="1" applyAlignment="1" applyProtection="1">
      <alignment horizontal="center" vertical="center"/>
    </xf>
    <xf numFmtId="2" fontId="2" fillId="0" borderId="10" xfId="0" applyNumberFormat="1" applyFont="1" applyBorder="1" applyAlignment="1" applyProtection="1">
      <alignment horizontal="center" vertical="center"/>
    </xf>
    <xf numFmtId="2" fontId="27" fillId="0" borderId="12" xfId="0" applyNumberFormat="1" applyFont="1" applyBorder="1" applyAlignment="1" applyProtection="1">
      <alignment horizontal="center" vertical="center"/>
      <protection locked="0"/>
    </xf>
    <xf numFmtId="165" fontId="27" fillId="0" borderId="12" xfId="0" applyNumberFormat="1" applyFont="1" applyBorder="1" applyAlignment="1" applyProtection="1">
      <alignment horizontal="center" vertical="center"/>
      <protection locked="0"/>
    </xf>
    <xf numFmtId="0" fontId="27" fillId="0" borderId="11" xfId="0" quotePrefix="1" applyFont="1" applyBorder="1" applyAlignment="1">
      <alignment vertical="center"/>
    </xf>
    <xf numFmtId="2" fontId="27" fillId="0" borderId="10" xfId="0" applyNumberFormat="1" applyFont="1" applyBorder="1" applyAlignment="1" applyProtection="1">
      <alignment horizontal="center" vertical="center"/>
      <protection locked="0"/>
    </xf>
    <xf numFmtId="2" fontId="27" fillId="0" borderId="15" xfId="0" applyNumberFormat="1" applyFont="1" applyBorder="1" applyAlignment="1" applyProtection="1">
      <alignment horizontal="center" vertical="center"/>
      <protection locked="0"/>
    </xf>
    <xf numFmtId="0" fontId="3" fillId="0" borderId="0" xfId="0" quotePrefix="1" applyFont="1" applyBorder="1" applyAlignment="1">
      <alignment horizontal="center" vertical="center"/>
    </xf>
    <xf numFmtId="0" fontId="3" fillId="0" borderId="10" xfId="0" quotePrefix="1" applyFont="1" applyFill="1" applyBorder="1" applyAlignment="1">
      <alignment horizontal="center" vertical="center"/>
    </xf>
    <xf numFmtId="0" fontId="3" fillId="0" borderId="12" xfId="0" quotePrefix="1" applyFont="1" applyFill="1" applyBorder="1" applyAlignment="1">
      <alignment horizontal="center" vertical="center"/>
    </xf>
    <xf numFmtId="0" fontId="3" fillId="0" borderId="13" xfId="0" applyFont="1" applyBorder="1" applyAlignment="1">
      <alignment vertical="center" shrinkToFit="1"/>
    </xf>
    <xf numFmtId="165" fontId="27" fillId="0" borderId="0" xfId="0" applyNumberFormat="1" applyFont="1" applyBorder="1" applyAlignment="1">
      <alignment horizontal="center" vertical="center"/>
    </xf>
    <xf numFmtId="0" fontId="3" fillId="0" borderId="14" xfId="0" applyFont="1" applyBorder="1" applyAlignment="1">
      <alignment vertical="center" shrinkToFit="1"/>
    </xf>
    <xf numFmtId="0" fontId="33" fillId="0" borderId="0" xfId="0" applyFont="1" applyBorder="1" applyAlignment="1">
      <alignment horizontal="right" vertical="center"/>
    </xf>
    <xf numFmtId="2" fontId="27" fillId="0" borderId="20" xfId="0" applyNumberFormat="1" applyFont="1" applyBorder="1" applyAlignment="1">
      <alignment horizontal="center" vertical="center"/>
    </xf>
    <xf numFmtId="2" fontId="27" fillId="0" borderId="14" xfId="0" applyNumberFormat="1" applyFont="1" applyBorder="1" applyAlignment="1">
      <alignment horizontal="center" vertical="center"/>
    </xf>
    <xf numFmtId="0" fontId="3" fillId="0" borderId="0" xfId="0" applyFont="1" applyFill="1" applyBorder="1" applyAlignment="1">
      <alignment horizontal="right" vertical="center"/>
    </xf>
    <xf numFmtId="0" fontId="7" fillId="0" borderId="0" xfId="0" applyFont="1" applyAlignment="1">
      <alignment vertical="center"/>
    </xf>
    <xf numFmtId="0" fontId="3" fillId="0" borderId="0" xfId="0" applyFont="1" applyAlignment="1">
      <alignment horizontal="center" vertical="top"/>
    </xf>
    <xf numFmtId="0" fontId="3" fillId="0" borderId="24" xfId="0" applyFont="1" applyBorder="1" applyAlignment="1">
      <alignment horizontal="center" vertical="center" shrinkToFit="1"/>
    </xf>
    <xf numFmtId="0" fontId="3" fillId="0" borderId="0" xfId="0" applyFont="1" applyBorder="1" applyAlignment="1">
      <alignment horizontal="left" vertical="top"/>
    </xf>
    <xf numFmtId="0" fontId="2" fillId="0" borderId="0" xfId="0" applyFont="1" applyBorder="1" applyAlignment="1">
      <alignment horizontal="center"/>
    </xf>
    <xf numFmtId="0" fontId="3" fillId="0" borderId="0" xfId="0" applyFont="1" applyFill="1" applyBorder="1" applyAlignment="1">
      <alignment horizontal="left" vertical="top"/>
    </xf>
    <xf numFmtId="0" fontId="27" fillId="0" borderId="0" xfId="0" applyFont="1" applyBorder="1" applyAlignment="1">
      <alignment vertical="top"/>
    </xf>
    <xf numFmtId="0" fontId="3" fillId="0" borderId="0" xfId="0" applyFont="1" applyFill="1" applyBorder="1" applyAlignment="1">
      <alignment horizontal="right" vertical="top"/>
    </xf>
    <xf numFmtId="0" fontId="3" fillId="0" borderId="0" xfId="0" applyFont="1" applyBorder="1" applyAlignment="1">
      <alignment horizontal="right" vertical="top"/>
    </xf>
    <xf numFmtId="0" fontId="7" fillId="0" borderId="0" xfId="0" applyFont="1" applyBorder="1" applyAlignment="1">
      <alignment horizontal="right" vertical="top"/>
    </xf>
    <xf numFmtId="0" fontId="8" fillId="0" borderId="0" xfId="0" applyFont="1" applyAlignment="1">
      <alignment horizontal="center" vertical="top"/>
    </xf>
    <xf numFmtId="0" fontId="27" fillId="0" borderId="13" xfId="0" applyFont="1" applyBorder="1" applyAlignment="1" applyProtection="1">
      <alignment horizontal="center" vertical="center"/>
    </xf>
    <xf numFmtId="0" fontId="27" fillId="0" borderId="0" xfId="0" applyFont="1" applyBorder="1" applyAlignment="1">
      <alignment horizontal="right"/>
    </xf>
    <xf numFmtId="0" fontId="2" fillId="0" borderId="17" xfId="0" applyFont="1" applyBorder="1" applyAlignment="1">
      <alignment horizontal="left" vertical="center" shrinkToFi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3" xfId="0" applyFont="1" applyBorder="1" applyAlignment="1">
      <alignment horizontal="left" vertical="center" shrinkToFit="1"/>
    </xf>
    <xf numFmtId="0" fontId="27" fillId="0" borderId="0" xfId="0" applyFont="1" applyAlignment="1">
      <alignment horizontal="left" vertical="center"/>
    </xf>
    <xf numFmtId="0" fontId="2" fillId="0" borderId="13" xfId="0" applyFont="1" applyBorder="1" applyAlignment="1">
      <alignment horizontal="left" vertical="center"/>
    </xf>
    <xf numFmtId="0" fontId="27" fillId="0" borderId="0" xfId="0" applyFont="1" applyFill="1" applyBorder="1" applyAlignment="1">
      <alignment horizontal="center" vertical="center"/>
    </xf>
    <xf numFmtId="0" fontId="3" fillId="0" borderId="0" xfId="0" applyFont="1" applyAlignment="1">
      <alignment horizontal="left"/>
    </xf>
    <xf numFmtId="0" fontId="3" fillId="0" borderId="0" xfId="0" applyFont="1" applyBorder="1" applyAlignment="1">
      <alignment horizontal="right" vertical="top" wrapText="1"/>
    </xf>
    <xf numFmtId="0" fontId="27" fillId="0" borderId="0" xfId="0" applyFont="1" applyAlignment="1">
      <alignment horizontal="left"/>
    </xf>
    <xf numFmtId="0" fontId="3" fillId="0" borderId="0" xfId="0" applyFont="1" applyAlignment="1">
      <alignment vertical="top"/>
    </xf>
    <xf numFmtId="0" fontId="32" fillId="0" borderId="10" xfId="0" applyFont="1" applyBorder="1" applyAlignment="1">
      <alignment horizontal="center" vertical="top"/>
    </xf>
    <xf numFmtId="0" fontId="27" fillId="0" borderId="20" xfId="0" applyFont="1" applyBorder="1" applyAlignment="1"/>
    <xf numFmtId="0" fontId="34" fillId="0" borderId="18" xfId="0" applyFont="1" applyBorder="1" applyAlignment="1">
      <alignment horizontal="center" vertical="top"/>
    </xf>
    <xf numFmtId="0" fontId="34" fillId="0" borderId="17" xfId="0" applyFont="1" applyBorder="1" applyAlignment="1">
      <alignment horizontal="center" vertical="top"/>
    </xf>
    <xf numFmtId="0" fontId="2" fillId="0" borderId="11" xfId="0" applyFont="1" applyBorder="1" applyAlignment="1">
      <alignment horizontal="center" vertical="top"/>
    </xf>
    <xf numFmtId="0" fontId="34" fillId="0" borderId="11" xfId="0" applyFont="1" applyBorder="1" applyAlignment="1">
      <alignment horizontal="center" vertical="top"/>
    </xf>
    <xf numFmtId="0" fontId="34" fillId="0" borderId="13" xfId="0" applyFont="1" applyBorder="1" applyAlignment="1">
      <alignment horizontal="center" vertical="top"/>
    </xf>
    <xf numFmtId="0" fontId="37" fillId="0" borderId="0" xfId="0" applyFont="1" applyBorder="1" applyAlignment="1">
      <alignment horizontal="left" vertical="center"/>
    </xf>
    <xf numFmtId="0" fontId="38" fillId="0" borderId="0" xfId="0" applyFont="1"/>
    <xf numFmtId="0" fontId="27" fillId="0" borderId="0" xfId="0" applyFont="1" applyAlignment="1">
      <alignment horizontal="left" vertical="top"/>
    </xf>
    <xf numFmtId="1" fontId="27" fillId="0" borderId="16" xfId="0" applyNumberFormat="1" applyFont="1" applyBorder="1" applyAlignment="1">
      <alignment horizontal="center" vertical="center"/>
    </xf>
    <xf numFmtId="1" fontId="27" fillId="0" borderId="15" xfId="0" applyNumberFormat="1" applyFont="1" applyBorder="1" applyAlignment="1">
      <alignment horizontal="center" vertical="center"/>
    </xf>
    <xf numFmtId="0" fontId="27" fillId="0" borderId="24" xfId="0" applyFont="1" applyBorder="1" applyAlignment="1">
      <alignment horizontal="center" vertical="center"/>
    </xf>
    <xf numFmtId="0" fontId="3" fillId="0" borderId="16" xfId="0" applyFont="1" applyBorder="1" applyAlignment="1">
      <alignment horizontal="left" vertical="center"/>
    </xf>
    <xf numFmtId="0" fontId="7" fillId="0" borderId="0" xfId="0" applyFont="1" applyBorder="1" applyAlignment="1" applyProtection="1">
      <alignment horizontal="center" vertical="center"/>
      <protection locked="0"/>
    </xf>
    <xf numFmtId="0" fontId="7" fillId="0" borderId="0" xfId="0" quotePrefix="1" applyFont="1" applyBorder="1" applyAlignment="1" applyProtection="1">
      <alignment horizontal="center" vertical="center"/>
      <protection locked="0"/>
    </xf>
    <xf numFmtId="2" fontId="7" fillId="0" borderId="12" xfId="0" applyNumberFormat="1" applyFont="1" applyBorder="1" applyAlignment="1">
      <alignment horizontal="center" vertical="center"/>
    </xf>
    <xf numFmtId="2" fontId="7" fillId="0" borderId="15" xfId="0" applyNumberFormat="1" applyFont="1" applyBorder="1" applyAlignment="1">
      <alignment horizontal="center" vertical="center"/>
    </xf>
    <xf numFmtId="2" fontId="7" fillId="0" borderId="21" xfId="0" applyNumberFormat="1" applyFont="1" applyBorder="1" applyAlignment="1">
      <alignment horizontal="center" vertical="center"/>
    </xf>
    <xf numFmtId="1" fontId="3" fillId="0" borderId="13" xfId="0" applyNumberFormat="1" applyFont="1" applyBorder="1" applyAlignment="1">
      <alignment horizontal="center" vertical="center"/>
    </xf>
    <xf numFmtId="1" fontId="3" fillId="0" borderId="0" xfId="0" quotePrefix="1" applyNumberFormat="1" applyFont="1" applyBorder="1" applyAlignment="1">
      <alignment horizontal="center" vertical="center"/>
    </xf>
    <xf numFmtId="1" fontId="3" fillId="0" borderId="14" xfId="0" applyNumberFormat="1" applyFont="1" applyBorder="1" applyAlignment="1">
      <alignment horizontal="center" vertical="center"/>
    </xf>
    <xf numFmtId="1" fontId="3" fillId="0" borderId="15" xfId="0" applyNumberFormat="1" applyFont="1" applyBorder="1" applyAlignment="1">
      <alignment horizontal="center" vertical="center"/>
    </xf>
    <xf numFmtId="0" fontId="27" fillId="0" borderId="0" xfId="0" applyFont="1" applyAlignment="1">
      <alignment wrapText="1"/>
    </xf>
    <xf numFmtId="0" fontId="32" fillId="0" borderId="0" xfId="0" applyFont="1" applyAlignment="1">
      <alignment horizontal="center" vertical="top"/>
    </xf>
    <xf numFmtId="0" fontId="39" fillId="0" borderId="0" xfId="0" applyFont="1"/>
    <xf numFmtId="0" fontId="40" fillId="0" borderId="0" xfId="0" applyFont="1"/>
    <xf numFmtId="0" fontId="3" fillId="0" borderId="16" xfId="0" applyFont="1" applyBorder="1" applyAlignment="1">
      <alignment vertical="center"/>
    </xf>
    <xf numFmtId="1" fontId="3" fillId="0" borderId="22" xfId="0" quotePrefix="1" applyNumberFormat="1" applyFont="1" applyBorder="1" applyAlignment="1">
      <alignment horizontal="center" vertical="center"/>
    </xf>
    <xf numFmtId="1" fontId="3" fillId="0" borderId="0" xfId="0" applyNumberFormat="1" applyFont="1" applyBorder="1" applyAlignment="1">
      <alignment vertical="center"/>
    </xf>
    <xf numFmtId="0" fontId="3" fillId="0" borderId="20" xfId="0" applyFont="1" applyBorder="1" applyAlignment="1">
      <alignment horizontal="left"/>
    </xf>
    <xf numFmtId="1" fontId="3" fillId="0" borderId="12" xfId="0" applyNumberFormat="1" applyFont="1" applyBorder="1" applyAlignment="1">
      <alignment horizontal="center" vertical="center"/>
    </xf>
    <xf numFmtId="0" fontId="3" fillId="0" borderId="0" xfId="0" quotePrefix="1" applyFont="1" applyBorder="1" applyAlignment="1">
      <alignment horizontal="center" vertical="center" wrapText="1"/>
    </xf>
    <xf numFmtId="0" fontId="3" fillId="0" borderId="16" xfId="0" quotePrefix="1" applyFont="1" applyFill="1" applyBorder="1" applyAlignment="1">
      <alignment horizontal="center" vertical="center"/>
    </xf>
    <xf numFmtId="0" fontId="3" fillId="0" borderId="20" xfId="0" applyFont="1" applyFill="1" applyBorder="1" applyAlignment="1">
      <alignment horizontal="center" vertical="center"/>
    </xf>
    <xf numFmtId="0" fontId="27" fillId="0" borderId="0" xfId="0" applyFont="1" applyFill="1" applyBorder="1" applyAlignment="1" applyProtection="1">
      <alignment horizontal="center" vertical="center"/>
      <protection locked="0"/>
    </xf>
    <xf numFmtId="0" fontId="27" fillId="0" borderId="17" xfId="0" applyFont="1" applyFill="1" applyBorder="1" applyAlignment="1" applyProtection="1">
      <alignment horizontal="center" vertical="center"/>
      <protection locked="0"/>
    </xf>
    <xf numFmtId="0" fontId="27" fillId="0" borderId="14" xfId="0" applyFont="1" applyFill="1" applyBorder="1" applyAlignment="1" applyProtection="1">
      <alignment horizontal="center" vertical="center"/>
      <protection locked="0"/>
    </xf>
    <xf numFmtId="0" fontId="27" fillId="0" borderId="0" xfId="0" applyFont="1" applyBorder="1" applyAlignment="1">
      <alignment horizontal="left"/>
    </xf>
    <xf numFmtId="0" fontId="27" fillId="0" borderId="11" xfId="0" applyFont="1" applyFill="1" applyBorder="1" applyAlignment="1">
      <alignment horizontal="center" vertical="center"/>
    </xf>
    <xf numFmtId="0" fontId="3" fillId="0" borderId="16" xfId="0" applyFont="1" applyFill="1" applyBorder="1" applyAlignment="1">
      <alignment horizontal="center" vertical="center" wrapText="1"/>
    </xf>
    <xf numFmtId="0" fontId="27" fillId="0" borderId="0" xfId="0" applyFont="1" applyAlignment="1">
      <alignment horizontal="left" vertical="top" wrapText="1"/>
    </xf>
    <xf numFmtId="0" fontId="27" fillId="0" borderId="10" xfId="0" quotePrefix="1" applyFont="1" applyBorder="1" applyAlignment="1">
      <alignment horizontal="center" vertical="center"/>
    </xf>
    <xf numFmtId="2" fontId="3" fillId="0" borderId="15" xfId="0" applyNumberFormat="1" applyFont="1" applyBorder="1" applyAlignment="1">
      <alignment horizontal="center" vertical="center"/>
    </xf>
    <xf numFmtId="0" fontId="3" fillId="0" borderId="10" xfId="0" applyFont="1" applyBorder="1" applyAlignment="1">
      <alignment horizontal="right" vertical="top"/>
    </xf>
    <xf numFmtId="0" fontId="3" fillId="0" borderId="19" xfId="0" applyFont="1" applyBorder="1" applyAlignment="1">
      <alignment horizontal="center" vertical="center" shrinkToFit="1"/>
    </xf>
    <xf numFmtId="0" fontId="41" fillId="0" borderId="0" xfId="0" applyFont="1"/>
    <xf numFmtId="1" fontId="2" fillId="0" borderId="19" xfId="0" applyNumberFormat="1" applyFont="1" applyBorder="1" applyAlignment="1">
      <alignment horizontal="center" vertical="center"/>
    </xf>
    <xf numFmtId="0" fontId="3" fillId="0" borderId="20" xfId="0" applyFont="1" applyBorder="1" applyAlignment="1">
      <alignment horizontal="left" vertical="top"/>
    </xf>
    <xf numFmtId="43" fontId="27" fillId="0" borderId="0" xfId="0" applyNumberFormat="1" applyFont="1" applyBorder="1" applyAlignment="1">
      <alignment vertical="center"/>
    </xf>
    <xf numFmtId="43" fontId="27" fillId="0" borderId="0" xfId="0" applyNumberFormat="1" applyFont="1" applyBorder="1" applyAlignment="1">
      <alignment horizontal="center"/>
    </xf>
    <xf numFmtId="0" fontId="3" fillId="0" borderId="13" xfId="0" applyFont="1" applyFill="1" applyBorder="1" applyAlignment="1">
      <alignment vertical="center"/>
    </xf>
    <xf numFmtId="0" fontId="3" fillId="0" borderId="10" xfId="0" applyFont="1" applyBorder="1" applyAlignment="1">
      <alignment horizontal="right" vertical="top" wrapText="1"/>
    </xf>
    <xf numFmtId="0" fontId="27" fillId="0" borderId="0" xfId="0" quotePrefix="1" applyFont="1" applyBorder="1" applyAlignment="1">
      <alignment horizontal="center"/>
    </xf>
    <xf numFmtId="0" fontId="27" fillId="0" borderId="0" xfId="0" quotePrefix="1" applyFont="1" applyBorder="1"/>
    <xf numFmtId="0" fontId="27" fillId="0" borderId="0" xfId="0" applyFont="1" applyProtection="1"/>
    <xf numFmtId="0" fontId="33" fillId="0" borderId="0" xfId="0" applyFont="1" applyProtection="1"/>
    <xf numFmtId="0" fontId="3" fillId="0" borderId="17"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18" xfId="0" applyFont="1" applyBorder="1" applyAlignment="1" applyProtection="1">
      <alignment horizontal="center" vertical="center" wrapText="1"/>
    </xf>
    <xf numFmtId="0" fontId="3" fillId="0" borderId="11" xfId="0" applyFont="1" applyBorder="1" applyAlignment="1" applyProtection="1">
      <alignment horizontal="center" vertical="center"/>
    </xf>
    <xf numFmtId="0" fontId="27" fillId="0" borderId="11" xfId="0" applyFont="1" applyBorder="1" applyAlignment="1" applyProtection="1">
      <alignment horizontal="center" vertical="center"/>
    </xf>
    <xf numFmtId="0" fontId="3" fillId="0" borderId="16" xfId="0" applyFont="1" applyBorder="1" applyAlignment="1" applyProtection="1">
      <alignment horizontal="center" vertical="center"/>
    </xf>
    <xf numFmtId="0" fontId="27" fillId="0" borderId="16" xfId="0" applyFont="1" applyBorder="1" applyAlignment="1" applyProtection="1">
      <alignment horizontal="center" vertical="center"/>
    </xf>
    <xf numFmtId="0" fontId="3" fillId="0" borderId="0" xfId="0" applyFont="1" applyProtection="1"/>
    <xf numFmtId="0" fontId="3" fillId="0" borderId="0" xfId="0" applyFont="1" applyAlignment="1" applyProtection="1">
      <alignment horizontal="right"/>
    </xf>
    <xf numFmtId="0" fontId="3" fillId="0" borderId="17"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7" fillId="0" borderId="0" xfId="0" applyFont="1" applyFill="1" applyBorder="1" applyAlignment="1">
      <alignment horizontal="right"/>
    </xf>
    <xf numFmtId="0" fontId="3" fillId="0" borderId="0" xfId="0" applyFont="1" applyFill="1" applyBorder="1" applyAlignment="1">
      <alignment horizontal="center" vertical="center"/>
    </xf>
    <xf numFmtId="0" fontId="27" fillId="0" borderId="10" xfId="0" applyFont="1" applyBorder="1"/>
    <xf numFmtId="0" fontId="3" fillId="0" borderId="13" xfId="0" applyFont="1" applyFill="1" applyBorder="1" applyAlignment="1">
      <alignment horizontal="center" vertical="center" wrapText="1"/>
    </xf>
    <xf numFmtId="0" fontId="32" fillId="0" borderId="10" xfId="0" applyFont="1" applyBorder="1" applyAlignment="1">
      <alignment horizontal="center" vertical="center"/>
    </xf>
    <xf numFmtId="0" fontId="32" fillId="0" borderId="0" xfId="0" applyFont="1" applyAlignment="1">
      <alignment horizontal="center" vertical="top" wrapText="1"/>
    </xf>
    <xf numFmtId="0" fontId="27" fillId="0" borderId="0" xfId="0" applyFont="1" applyAlignment="1">
      <alignment vertical="top" wrapText="1"/>
    </xf>
    <xf numFmtId="0" fontId="3" fillId="0" borderId="10" xfId="0" applyFont="1" applyBorder="1" applyAlignment="1">
      <alignment horizontal="left"/>
    </xf>
    <xf numFmtId="1" fontId="3" fillId="0" borderId="17" xfId="0" applyNumberFormat="1" applyFont="1" applyBorder="1" applyAlignment="1">
      <alignment horizontal="center" vertical="center" wrapText="1"/>
    </xf>
    <xf numFmtId="0" fontId="33" fillId="0" borderId="0" xfId="0" applyFont="1" applyAlignment="1">
      <alignment horizontal="right" vertical="center"/>
    </xf>
    <xf numFmtId="0" fontId="27" fillId="0" borderId="0" xfId="0" applyFont="1" applyAlignment="1">
      <alignment horizontal="right" vertical="top"/>
    </xf>
    <xf numFmtId="0" fontId="27" fillId="0" borderId="0" xfId="0" applyFont="1" applyAlignment="1">
      <alignment horizontal="right" vertical="top" wrapText="1"/>
    </xf>
    <xf numFmtId="0" fontId="2" fillId="0" borderId="21" xfId="0" applyFont="1" applyBorder="1" applyAlignment="1" applyProtection="1">
      <alignment horizontal="center" vertical="center"/>
      <protection locked="0"/>
    </xf>
    <xf numFmtId="1" fontId="3" fillId="0" borderId="16" xfId="0" applyNumberFormat="1" applyFont="1" applyBorder="1" applyAlignment="1">
      <alignment horizontal="center" vertical="center"/>
    </xf>
    <xf numFmtId="0" fontId="3" fillId="0" borderId="0" xfId="0" quotePrefix="1" applyFont="1" applyBorder="1" applyAlignment="1" applyProtection="1">
      <alignment horizontal="center" vertical="center"/>
      <protection locked="0"/>
    </xf>
    <xf numFmtId="0" fontId="3" fillId="0" borderId="0" xfId="0" quotePrefix="1" applyFont="1" applyAlignment="1">
      <alignment horizontal="center" vertical="center"/>
    </xf>
    <xf numFmtId="0" fontId="3" fillId="0" borderId="10" xfId="0" quotePrefix="1" applyFont="1" applyBorder="1" applyAlignment="1" applyProtection="1">
      <alignment horizontal="center" vertical="center"/>
      <protection locked="0"/>
    </xf>
    <xf numFmtId="1" fontId="3" fillId="0" borderId="10" xfId="0" applyNumberFormat="1" applyFont="1" applyBorder="1" applyAlignment="1">
      <alignment horizontal="center" vertical="center"/>
    </xf>
    <xf numFmtId="0" fontId="27" fillId="0" borderId="13" xfId="0" quotePrefix="1" applyFont="1" applyFill="1" applyBorder="1" applyAlignment="1">
      <alignment horizontal="center" vertical="center"/>
    </xf>
    <xf numFmtId="0" fontId="27" fillId="0" borderId="20" xfId="0" applyFont="1" applyBorder="1" applyAlignment="1">
      <alignment horizontal="center" vertical="center"/>
    </xf>
    <xf numFmtId="2" fontId="3" fillId="0" borderId="17" xfId="0" applyNumberFormat="1" applyFont="1" applyBorder="1" applyAlignment="1">
      <alignment horizontal="center" vertical="center"/>
    </xf>
    <xf numFmtId="2" fontId="3" fillId="0" borderId="14" xfId="0" applyNumberFormat="1" applyFont="1" applyBorder="1" applyAlignment="1">
      <alignment horizontal="center" vertical="center" wrapText="1"/>
    </xf>
    <xf numFmtId="0" fontId="27" fillId="0" borderId="20" xfId="0" applyFont="1" applyBorder="1" applyAlignment="1" applyProtection="1">
      <alignment horizontal="center" vertical="center"/>
      <protection locked="0"/>
    </xf>
    <xf numFmtId="165" fontId="27" fillId="0" borderId="0" xfId="0" applyNumberFormat="1" applyFont="1" applyBorder="1" applyAlignment="1" applyProtection="1">
      <alignment horizontal="center" vertical="center"/>
      <protection locked="0"/>
    </xf>
    <xf numFmtId="0" fontId="2" fillId="0" borderId="0" xfId="0" quotePrefix="1" applyFont="1" applyBorder="1" applyAlignment="1">
      <alignment horizontal="center" vertical="center" wrapText="1"/>
    </xf>
    <xf numFmtId="165" fontId="27" fillId="0" borderId="20" xfId="0" applyNumberFormat="1" applyFont="1" applyBorder="1" applyAlignment="1">
      <alignment horizontal="center" vertical="center"/>
    </xf>
    <xf numFmtId="165" fontId="27" fillId="0" borderId="0" xfId="0" applyNumberFormat="1" applyFont="1" applyAlignment="1">
      <alignment horizontal="center" vertical="center"/>
    </xf>
    <xf numFmtId="165" fontId="3" fillId="0" borderId="10" xfId="0" quotePrefix="1" applyNumberFormat="1" applyFont="1" applyBorder="1" applyAlignment="1">
      <alignment horizontal="center" vertical="center"/>
    </xf>
    <xf numFmtId="0" fontId="2" fillId="0" borderId="13" xfId="0" quotePrefix="1" applyFont="1" applyBorder="1" applyAlignment="1">
      <alignment vertical="center"/>
    </xf>
    <xf numFmtId="0" fontId="32" fillId="0" borderId="0" xfId="0" applyFont="1" applyAlignment="1">
      <alignment horizontal="center" vertical="center" wrapText="1"/>
    </xf>
    <xf numFmtId="0" fontId="0" fillId="0" borderId="0" xfId="0" applyAlignment="1">
      <alignment wrapText="1"/>
    </xf>
    <xf numFmtId="0" fontId="0" fillId="0" borderId="0" xfId="0" applyAlignment="1">
      <alignment horizontal="center" wrapText="1"/>
    </xf>
    <xf numFmtId="1" fontId="27" fillId="0" borderId="17" xfId="0" applyNumberFormat="1" applyFont="1" applyBorder="1" applyAlignment="1">
      <alignment horizontal="center" vertical="center"/>
    </xf>
    <xf numFmtId="2" fontId="3" fillId="0" borderId="10" xfId="0" applyNumberFormat="1" applyFont="1" applyBorder="1" applyAlignment="1">
      <alignment horizontal="center" vertical="center"/>
    </xf>
    <xf numFmtId="2" fontId="3" fillId="0" borderId="20" xfId="0" applyNumberFormat="1" applyFont="1" applyBorder="1" applyAlignment="1">
      <alignment horizontal="center" vertical="center"/>
    </xf>
    <xf numFmtId="0" fontId="3" fillId="0" borderId="17" xfId="0" applyFont="1" applyFill="1" applyBorder="1" applyAlignment="1">
      <alignment horizontal="center" vertical="center"/>
    </xf>
    <xf numFmtId="2" fontId="27" fillId="0" borderId="17" xfId="0" applyNumberFormat="1" applyFont="1" applyBorder="1" applyAlignment="1">
      <alignment horizontal="center" vertical="center"/>
    </xf>
    <xf numFmtId="2" fontId="2" fillId="0" borderId="17" xfId="0" applyNumberFormat="1" applyFont="1" applyBorder="1" applyAlignment="1">
      <alignment horizontal="center" vertical="center"/>
    </xf>
    <xf numFmtId="0" fontId="3" fillId="0" borderId="11" xfId="0" applyFont="1" applyFill="1" applyBorder="1" applyAlignment="1">
      <alignment horizontal="center" vertical="center" wrapText="1"/>
    </xf>
    <xf numFmtId="0" fontId="27" fillId="0" borderId="11" xfId="0" applyFont="1" applyFill="1" applyBorder="1" applyAlignment="1" applyProtection="1">
      <alignment horizontal="center" vertical="center"/>
      <protection locked="0"/>
    </xf>
    <xf numFmtId="0" fontId="2" fillId="0" borderId="15" xfId="0" applyFont="1" applyBorder="1"/>
    <xf numFmtId="0" fontId="3" fillId="0" borderId="19" xfId="0" applyFont="1" applyBorder="1" applyAlignment="1" applyProtection="1">
      <alignment horizontal="center" vertical="center" wrapText="1"/>
    </xf>
    <xf numFmtId="0" fontId="7" fillId="0" borderId="0" xfId="0" applyFont="1"/>
    <xf numFmtId="0" fontId="3" fillId="0" borderId="20" xfId="0" applyFont="1" applyBorder="1" applyAlignment="1" applyProtection="1">
      <alignment horizontal="right" vertical="center"/>
      <protection locked="0"/>
    </xf>
    <xf numFmtId="0" fontId="27" fillId="0" borderId="20" xfId="0" applyFont="1" applyBorder="1" applyAlignment="1">
      <alignment vertical="center"/>
    </xf>
    <xf numFmtId="0" fontId="3" fillId="0" borderId="0" xfId="0" applyFont="1" applyFill="1" applyBorder="1" applyAlignment="1">
      <alignment horizontal="center" vertical="top"/>
    </xf>
    <xf numFmtId="0" fontId="0" fillId="0" borderId="0" xfId="0" applyAlignment="1">
      <alignment vertical="top" wrapText="1"/>
    </xf>
    <xf numFmtId="0" fontId="44" fillId="0" borderId="0" xfId="0" applyFont="1"/>
    <xf numFmtId="0" fontId="42" fillId="0" borderId="0" xfId="0" applyFont="1" applyBorder="1" applyAlignment="1">
      <alignment horizontal="center" vertical="top" wrapText="1"/>
    </xf>
    <xf numFmtId="0" fontId="45" fillId="0" borderId="19" xfId="0" applyFont="1" applyBorder="1" applyAlignment="1">
      <alignment horizontal="center" vertical="center"/>
    </xf>
    <xf numFmtId="0" fontId="45" fillId="0" borderId="24" xfId="0" applyFont="1" applyBorder="1" applyAlignment="1">
      <alignment horizontal="center" vertical="center"/>
    </xf>
    <xf numFmtId="0" fontId="46" fillId="0" borderId="17" xfId="0" quotePrefix="1" applyFont="1" applyBorder="1" applyAlignment="1">
      <alignment horizontal="center" vertical="center"/>
    </xf>
    <xf numFmtId="0" fontId="46" fillId="0" borderId="21" xfId="0" quotePrefix="1" applyFont="1" applyFill="1" applyBorder="1" applyAlignment="1">
      <alignment horizontal="center" vertical="center"/>
    </xf>
    <xf numFmtId="0" fontId="0" fillId="0" borderId="17"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1" fillId="0" borderId="0" xfId="0" applyFont="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11" fillId="0" borderId="19" xfId="0" quotePrefix="1" applyFont="1" applyBorder="1" applyAlignment="1">
      <alignment horizontal="center" vertical="center"/>
    </xf>
    <xf numFmtId="0" fontId="11" fillId="0" borderId="24" xfId="0" quotePrefix="1" applyFont="1" applyBorder="1" applyAlignment="1">
      <alignment horizontal="center" vertical="center"/>
    </xf>
    <xf numFmtId="0" fontId="51" fillId="0" borderId="0" xfId="0" applyFont="1" applyBorder="1" applyAlignment="1">
      <alignment horizontal="center" vertical="center"/>
    </xf>
    <xf numFmtId="0" fontId="0" fillId="0" borderId="0" xfId="0" applyBorder="1" applyAlignment="1">
      <alignment horizontal="center" vertical="center"/>
    </xf>
    <xf numFmtId="0" fontId="52" fillId="0" borderId="0" xfId="0" applyFont="1" applyBorder="1" applyAlignment="1">
      <alignment vertical="center"/>
    </xf>
    <xf numFmtId="0" fontId="52" fillId="0" borderId="0" xfId="0" applyFont="1" applyBorder="1" applyAlignment="1">
      <alignment horizontal="right" vertical="center"/>
    </xf>
    <xf numFmtId="0" fontId="55" fillId="0" borderId="0" xfId="0" applyFont="1"/>
    <xf numFmtId="0" fontId="53" fillId="0" borderId="0" xfId="0" applyFont="1" applyBorder="1" applyAlignment="1">
      <alignment horizontal="center" vertical="center" wrapText="1"/>
    </xf>
    <xf numFmtId="0" fontId="55" fillId="0" borderId="0" xfId="0" applyFont="1" applyBorder="1" applyAlignment="1">
      <alignment horizontal="right" vertical="center" wrapText="1"/>
    </xf>
    <xf numFmtId="0" fontId="53" fillId="0" borderId="0" xfId="0" applyFont="1" applyBorder="1" applyAlignment="1">
      <alignment horizontal="center" vertical="top" wrapText="1"/>
    </xf>
    <xf numFmtId="0" fontId="53" fillId="0" borderId="0" xfId="0" applyFont="1" applyAlignment="1">
      <alignment horizontal="center" vertical="center"/>
    </xf>
    <xf numFmtId="0" fontId="46" fillId="0" borderId="19" xfId="0" applyFont="1" applyBorder="1" applyAlignment="1">
      <alignment horizontal="center" vertical="center"/>
    </xf>
    <xf numFmtId="0" fontId="46" fillId="0" borderId="22" xfId="0" applyFont="1" applyBorder="1" applyAlignment="1">
      <alignment horizontal="center" vertical="center"/>
    </xf>
    <xf numFmtId="0" fontId="46" fillId="0" borderId="17" xfId="0" applyFont="1" applyBorder="1" applyAlignment="1">
      <alignment horizontal="center" vertical="center"/>
    </xf>
    <xf numFmtId="0" fontId="46" fillId="0" borderId="0" xfId="0" applyFont="1" applyBorder="1" applyAlignment="1">
      <alignment horizontal="center" vertical="center"/>
    </xf>
    <xf numFmtId="0" fontId="7" fillId="0" borderId="0" xfId="0" applyFont="1" applyBorder="1" applyAlignment="1" applyProtection="1">
      <alignment horizontal="right"/>
      <protection locked="0"/>
    </xf>
    <xf numFmtId="0" fontId="46" fillId="0" borderId="0" xfId="0" applyFont="1" applyBorder="1"/>
    <xf numFmtId="0" fontId="46" fillId="0" borderId="0" xfId="0" applyFont="1"/>
    <xf numFmtId="0" fontId="56" fillId="0" borderId="22" xfId="0" quotePrefix="1" applyFont="1" applyBorder="1" applyAlignment="1">
      <alignment horizontal="center" vertical="center"/>
    </xf>
    <xf numFmtId="0" fontId="56" fillId="0" borderId="19" xfId="0" quotePrefix="1" applyFont="1" applyBorder="1" applyAlignment="1">
      <alignment horizontal="center" vertical="center"/>
    </xf>
    <xf numFmtId="0" fontId="56" fillId="0" borderId="23" xfId="0" quotePrefix="1" applyFont="1" applyFill="1" applyBorder="1" applyAlignment="1">
      <alignment horizontal="center" vertical="center"/>
    </xf>
    <xf numFmtId="0" fontId="56" fillId="0" borderId="0" xfId="0" quotePrefix="1" applyFont="1" applyBorder="1" applyAlignment="1">
      <alignment horizontal="center"/>
    </xf>
    <xf numFmtId="0" fontId="56" fillId="0" borderId="0" xfId="0" quotePrefix="1" applyFont="1" applyBorder="1"/>
    <xf numFmtId="0" fontId="56" fillId="0" borderId="0" xfId="0" applyFont="1"/>
    <xf numFmtId="0" fontId="57" fillId="0" borderId="17" xfId="0" quotePrefix="1" applyFont="1" applyBorder="1" applyAlignment="1">
      <alignment horizontal="center" vertical="top"/>
    </xf>
    <xf numFmtId="0" fontId="0" fillId="0" borderId="13" xfId="0" applyBorder="1"/>
    <xf numFmtId="0" fontId="0" fillId="0" borderId="18" xfId="0" applyBorder="1" applyAlignment="1">
      <alignment horizontal="center"/>
    </xf>
    <xf numFmtId="0" fontId="50" fillId="0" borderId="13" xfId="0" applyFont="1" applyBorder="1" applyAlignment="1">
      <alignment horizontal="center"/>
    </xf>
    <xf numFmtId="0" fontId="52" fillId="0" borderId="12" xfId="0" applyFont="1" applyBorder="1" applyAlignment="1">
      <alignment horizontal="left" vertical="center"/>
    </xf>
    <xf numFmtId="0" fontId="57" fillId="0" borderId="14" xfId="0" applyFont="1" applyBorder="1" applyAlignment="1">
      <alignment horizontal="center" vertical="top" wrapText="1"/>
    </xf>
    <xf numFmtId="0" fontId="58" fillId="0" borderId="0" xfId="0" applyFont="1" applyAlignment="1">
      <alignment horizontal="right"/>
    </xf>
    <xf numFmtId="0" fontId="59" fillId="0" borderId="0" xfId="0" applyFont="1" applyBorder="1" applyAlignment="1">
      <alignment horizontal="left"/>
    </xf>
    <xf numFmtId="0" fontId="60" fillId="0" borderId="0" xfId="0" applyFont="1" applyBorder="1" applyAlignment="1">
      <alignment horizontal="right"/>
    </xf>
    <xf numFmtId="0" fontId="60" fillId="0" borderId="0" xfId="0" applyFont="1" applyBorder="1"/>
    <xf numFmtId="0" fontId="61" fillId="0" borderId="0" xfId="0" applyFont="1" applyBorder="1"/>
    <xf numFmtId="0" fontId="7" fillId="0" borderId="0" xfId="0" applyFont="1" applyAlignment="1">
      <alignment horizontal="right"/>
    </xf>
    <xf numFmtId="0" fontId="62" fillId="0" borderId="0" xfId="0" applyFont="1" applyAlignment="1">
      <alignment horizontal="left" vertical="top"/>
    </xf>
    <xf numFmtId="0" fontId="60" fillId="0" borderId="0" xfId="0" applyFont="1"/>
    <xf numFmtId="0" fontId="60" fillId="0" borderId="0" xfId="0" applyFont="1" applyBorder="1" applyAlignment="1">
      <alignment vertical="top"/>
    </xf>
    <xf numFmtId="0" fontId="7" fillId="0" borderId="0" xfId="0" applyFont="1" applyAlignment="1">
      <alignment vertical="top"/>
    </xf>
    <xf numFmtId="0" fontId="0" fillId="0" borderId="0" xfId="0" applyBorder="1" applyAlignment="1">
      <alignment horizontal="left"/>
    </xf>
    <xf numFmtId="0" fontId="0" fillId="0" borderId="0" xfId="0" applyBorder="1" applyAlignment="1">
      <alignment horizontal="center"/>
    </xf>
    <xf numFmtId="0" fontId="0" fillId="0" borderId="0" xfId="0" applyFill="1" applyBorder="1" applyAlignment="1">
      <alignment horizontal="right"/>
    </xf>
    <xf numFmtId="0" fontId="27" fillId="0" borderId="0" xfId="0" applyFont="1" applyAlignment="1" applyProtection="1">
      <protection locked="0"/>
    </xf>
    <xf numFmtId="0" fontId="7" fillId="0" borderId="0" xfId="0" applyFont="1" applyAlignment="1" applyProtection="1">
      <alignment horizontal="left" vertical="center"/>
      <protection locked="0"/>
    </xf>
    <xf numFmtId="0" fontId="7" fillId="0" borderId="0" xfId="0" applyFont="1" applyBorder="1" applyAlignment="1">
      <alignment horizontal="right" vertical="center"/>
    </xf>
    <xf numFmtId="0" fontId="7" fillId="0" borderId="20" xfId="0" applyFont="1" applyBorder="1" applyAlignment="1">
      <alignment horizontal="right"/>
    </xf>
    <xf numFmtId="0" fontId="7" fillId="0" borderId="20" xfId="0" applyFont="1" applyBorder="1" applyAlignment="1">
      <alignment horizontal="right" vertical="top"/>
    </xf>
    <xf numFmtId="0" fontId="63" fillId="0" borderId="0" xfId="0" applyFont="1" applyAlignment="1">
      <alignment horizontal="right"/>
    </xf>
    <xf numFmtId="0" fontId="63" fillId="0" borderId="0" xfId="0" applyFont="1"/>
    <xf numFmtId="0" fontId="7" fillId="0" borderId="0" xfId="0" applyFont="1" applyAlignment="1">
      <alignment horizontal="right" vertical="center"/>
    </xf>
    <xf numFmtId="0" fontId="7" fillId="0" borderId="0" xfId="0" applyFont="1" applyAlignment="1">
      <alignment horizontal="left" vertical="center"/>
    </xf>
    <xf numFmtId="0" fontId="7" fillId="0" borderId="0" xfId="0" applyFont="1" applyBorder="1" applyAlignment="1">
      <alignment horizontal="left" vertical="center"/>
    </xf>
    <xf numFmtId="0" fontId="7" fillId="0" borderId="0" xfId="0" applyFont="1" applyAlignment="1">
      <alignment horizontal="right" vertical="top"/>
    </xf>
    <xf numFmtId="0" fontId="7" fillId="0" borderId="0" xfId="0" applyFont="1" applyBorder="1" applyAlignment="1">
      <alignment horizontal="right"/>
    </xf>
    <xf numFmtId="0" fontId="7" fillId="0" borderId="0" xfId="0" applyFont="1" applyFill="1" applyBorder="1" applyAlignment="1">
      <alignment vertical="center"/>
    </xf>
    <xf numFmtId="0" fontId="63" fillId="0" borderId="0" xfId="0" applyFont="1" applyAlignment="1">
      <alignment horizontal="right" vertical="center"/>
    </xf>
    <xf numFmtId="0" fontId="7" fillId="0" borderId="0" xfId="0" applyFont="1" applyAlignment="1" applyProtection="1">
      <alignment horizontal="right" vertical="center"/>
      <protection locked="0"/>
    </xf>
    <xf numFmtId="0" fontId="7" fillId="0" borderId="0" xfId="0" applyFont="1" applyAlignment="1" applyProtection="1">
      <alignment vertical="center"/>
      <protection locked="0"/>
    </xf>
    <xf numFmtId="0" fontId="7" fillId="0" borderId="0" xfId="0" applyFont="1" applyProtection="1">
      <protection locked="0"/>
    </xf>
    <xf numFmtId="0" fontId="7" fillId="0" borderId="20" xfId="0" applyFont="1" applyBorder="1" applyAlignment="1">
      <alignment vertical="center"/>
    </xf>
    <xf numFmtId="0" fontId="7" fillId="0" borderId="0" xfId="0" applyFont="1" applyAlignment="1" applyProtection="1">
      <alignment horizontal="right"/>
      <protection locked="0"/>
    </xf>
    <xf numFmtId="0" fontId="7" fillId="0" borderId="0" xfId="0" applyFont="1" applyAlignment="1">
      <alignment horizontal="center"/>
    </xf>
    <xf numFmtId="0" fontId="7" fillId="0" borderId="0" xfId="0" applyFont="1" applyBorder="1" applyAlignment="1" applyProtection="1">
      <alignment horizontal="right" vertical="center"/>
      <protection locked="0"/>
    </xf>
    <xf numFmtId="0" fontId="7" fillId="0" borderId="0" xfId="0" applyFont="1" applyAlignment="1" applyProtection="1">
      <protection locked="0"/>
    </xf>
    <xf numFmtId="0" fontId="7" fillId="0" borderId="20" xfId="0" applyFont="1" applyBorder="1" applyAlignment="1" applyProtection="1">
      <alignment horizontal="right" vertical="top"/>
      <protection locked="0"/>
    </xf>
    <xf numFmtId="0" fontId="7" fillId="0" borderId="12" xfId="0" applyFont="1" applyBorder="1" applyProtection="1">
      <protection locked="0"/>
    </xf>
    <xf numFmtId="0" fontId="7" fillId="0" borderId="0" xfId="0" applyFont="1" applyBorder="1" applyAlignment="1" applyProtection="1">
      <alignment horizontal="right" vertical="top"/>
      <protection locked="0"/>
    </xf>
    <xf numFmtId="0" fontId="7" fillId="0" borderId="20" xfId="0" applyFont="1" applyBorder="1" applyAlignment="1" applyProtection="1">
      <alignment horizontal="right" vertical="center"/>
      <protection locked="0"/>
    </xf>
    <xf numFmtId="0" fontId="7" fillId="0" borderId="0" xfId="0" applyFont="1" applyBorder="1" applyAlignment="1">
      <alignment horizontal="left"/>
    </xf>
    <xf numFmtId="0" fontId="7" fillId="0" borderId="0" xfId="0" quotePrefix="1" applyFont="1" applyFill="1" applyBorder="1" applyAlignment="1">
      <alignment horizontal="left"/>
    </xf>
    <xf numFmtId="0" fontId="7" fillId="0" borderId="0" xfId="0" quotePrefix="1" applyFont="1" applyBorder="1" applyAlignment="1" applyProtection="1">
      <alignment horizontal="left" vertical="center"/>
      <protection locked="0"/>
    </xf>
    <xf numFmtId="0" fontId="7" fillId="0" borderId="0" xfId="0" applyFont="1" applyAlignment="1">
      <alignment horizontal="center" vertical="center"/>
    </xf>
    <xf numFmtId="0" fontId="63" fillId="0" borderId="0" xfId="0" applyFont="1" applyAlignment="1">
      <alignment vertical="center"/>
    </xf>
    <xf numFmtId="0" fontId="7" fillId="0" borderId="0" xfId="0" applyFont="1" applyBorder="1" applyAlignment="1" applyProtection="1">
      <alignment vertical="center"/>
      <protection locked="0"/>
    </xf>
    <xf numFmtId="0" fontId="7" fillId="0" borderId="0" xfId="0" applyFont="1" applyFill="1" applyBorder="1" applyAlignment="1">
      <alignment horizontal="left" vertical="top"/>
    </xf>
    <xf numFmtId="0" fontId="7" fillId="0" borderId="0" xfId="0" applyFont="1" applyFill="1" applyBorder="1" applyAlignment="1">
      <alignment horizontal="right" vertical="top"/>
    </xf>
    <xf numFmtId="0" fontId="7" fillId="0" borderId="0" xfId="0" applyFont="1" applyAlignment="1">
      <alignment horizontal="left"/>
    </xf>
    <xf numFmtId="0" fontId="7" fillId="0" borderId="0" xfId="0" applyFont="1" applyAlignment="1">
      <alignment horizontal="left" vertical="top"/>
    </xf>
    <xf numFmtId="0" fontId="7" fillId="0" borderId="0" xfId="0" applyFont="1" applyAlignment="1" applyProtection="1">
      <alignment horizontal="right"/>
    </xf>
    <xf numFmtId="0" fontId="7" fillId="0" borderId="20" xfId="0" applyFont="1" applyBorder="1" applyAlignment="1"/>
    <xf numFmtId="0" fontId="7" fillId="0" borderId="0" xfId="0" applyFont="1" applyAlignment="1"/>
    <xf numFmtId="0" fontId="7" fillId="0" borderId="0" xfId="0" applyFont="1" applyFill="1" applyBorder="1" applyAlignment="1"/>
    <xf numFmtId="0" fontId="63" fillId="0" borderId="0" xfId="0" applyFont="1" applyFill="1" applyBorder="1" applyAlignment="1">
      <alignment horizontal="left" vertical="center"/>
    </xf>
    <xf numFmtId="0" fontId="7" fillId="0" borderId="0" xfId="0" applyFont="1" applyAlignment="1">
      <alignment horizontal="right" vertical="top" wrapText="1"/>
    </xf>
    <xf numFmtId="0" fontId="7" fillId="0" borderId="0" xfId="0" applyFont="1" applyBorder="1" applyAlignment="1">
      <alignment horizontal="center"/>
    </xf>
    <xf numFmtId="0" fontId="63" fillId="0" borderId="0" xfId="0" applyFont="1" applyBorder="1" applyAlignment="1">
      <alignment horizontal="right"/>
    </xf>
    <xf numFmtId="0" fontId="63" fillId="0" borderId="0" xfId="0" applyFont="1" applyFill="1" applyBorder="1"/>
    <xf numFmtId="0" fontId="63" fillId="0" borderId="0" xfId="0" applyFont="1" applyFill="1" applyBorder="1" applyAlignment="1">
      <alignment horizontal="left"/>
    </xf>
    <xf numFmtId="0" fontId="63" fillId="0" borderId="0" xfId="0" applyFont="1" applyFill="1" applyBorder="1" applyAlignment="1">
      <alignment horizontal="center"/>
    </xf>
    <xf numFmtId="0" fontId="63" fillId="0" borderId="0" xfId="0" applyFont="1" applyBorder="1"/>
    <xf numFmtId="0" fontId="7" fillId="0" borderId="0" xfId="0" applyFont="1" applyFill="1" applyBorder="1" applyAlignment="1">
      <alignment horizontal="right" vertical="center"/>
    </xf>
    <xf numFmtId="0" fontId="7" fillId="0" borderId="0" xfId="0" quotePrefix="1" applyFont="1" applyBorder="1"/>
    <xf numFmtId="0" fontId="7" fillId="0" borderId="0" xfId="0" quotePrefix="1" applyFont="1"/>
    <xf numFmtId="0" fontId="7" fillId="0" borderId="0" xfId="0" quotePrefix="1" applyFont="1" applyAlignment="1">
      <alignment horizontal="left"/>
    </xf>
    <xf numFmtId="0" fontId="7" fillId="0" borderId="20" xfId="0" applyFont="1" applyBorder="1" applyAlignment="1">
      <alignment horizontal="left"/>
    </xf>
    <xf numFmtId="1" fontId="7" fillId="0" borderId="0" xfId="0" applyNumberFormat="1" applyFont="1"/>
    <xf numFmtId="0" fontId="7" fillId="0" borderId="20" xfId="0" applyFont="1" applyBorder="1" applyAlignment="1">
      <alignment horizontal="left" vertical="center"/>
    </xf>
    <xf numFmtId="0" fontId="3" fillId="0" borderId="13" xfId="0" quotePrefix="1" applyFont="1" applyFill="1" applyBorder="1" applyAlignment="1" applyProtection="1">
      <alignment horizontal="center" vertical="center"/>
      <protection locked="0"/>
    </xf>
    <xf numFmtId="0" fontId="3" fillId="0" borderId="12" xfId="0" quotePrefix="1" applyFont="1" applyFill="1" applyBorder="1" applyAlignment="1" applyProtection="1">
      <alignment horizontal="center" vertical="center"/>
      <protection locked="0"/>
    </xf>
    <xf numFmtId="0" fontId="7" fillId="0" borderId="0" xfId="0" quotePrefix="1" applyFont="1" applyAlignment="1" applyProtection="1">
      <alignment horizontal="right"/>
      <protection locked="0"/>
    </xf>
    <xf numFmtId="0" fontId="5" fillId="0" borderId="0" xfId="0" applyFont="1" applyAlignment="1">
      <alignment vertical="center"/>
    </xf>
    <xf numFmtId="0" fontId="3" fillId="0" borderId="19" xfId="0" quotePrefix="1" applyFont="1" applyBorder="1" applyAlignment="1" applyProtection="1">
      <alignment horizontal="center" vertical="center" wrapText="1"/>
    </xf>
    <xf numFmtId="0" fontId="3" fillId="0" borderId="23" xfId="0" quotePrefix="1" applyFont="1" applyBorder="1" applyAlignment="1" applyProtection="1">
      <alignment horizontal="center" vertical="center" wrapText="1"/>
    </xf>
    <xf numFmtId="0" fontId="3" fillId="0" borderId="22" xfId="0" quotePrefix="1" applyFont="1" applyBorder="1" applyAlignment="1" applyProtection="1">
      <alignment horizontal="center" vertical="center" wrapText="1"/>
    </xf>
    <xf numFmtId="0" fontId="3" fillId="0" borderId="22" xfId="0" quotePrefix="1" applyFont="1" applyFill="1" applyBorder="1" applyAlignment="1" applyProtection="1">
      <alignment horizontal="center" vertical="center" wrapText="1"/>
    </xf>
    <xf numFmtId="0" fontId="3" fillId="0" borderId="19" xfId="0" quotePrefix="1" applyFont="1" applyFill="1" applyBorder="1" applyAlignment="1" applyProtection="1">
      <alignment horizontal="center" vertical="center" wrapText="1"/>
    </xf>
    <xf numFmtId="0" fontId="3" fillId="0" borderId="23" xfId="0" quotePrefix="1" applyFont="1" applyFill="1" applyBorder="1" applyAlignment="1" applyProtection="1">
      <alignment horizontal="center" vertical="center" wrapText="1"/>
    </xf>
    <xf numFmtId="2" fontId="27" fillId="0" borderId="0" xfId="0" applyNumberFormat="1" applyFont="1" applyBorder="1" applyAlignment="1">
      <alignment horizontal="center"/>
    </xf>
    <xf numFmtId="2" fontId="3" fillId="0" borderId="0" xfId="0" applyNumberFormat="1" applyFont="1" applyBorder="1" applyAlignment="1">
      <alignment horizontal="center"/>
    </xf>
    <xf numFmtId="0" fontId="6" fillId="0" borderId="2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1" fontId="3" fillId="0" borderId="20" xfId="0" applyNumberFormat="1" applyFont="1" applyBorder="1" applyAlignment="1">
      <alignment horizontal="center" vertical="center" wrapText="1"/>
    </xf>
    <xf numFmtId="0" fontId="7" fillId="0" borderId="0" xfId="0" applyFont="1" applyBorder="1" applyAlignment="1">
      <alignment horizontal="left" vertical="top"/>
    </xf>
    <xf numFmtId="2" fontId="8" fillId="0" borderId="0" xfId="0" applyNumberFormat="1" applyFont="1" applyBorder="1" applyAlignment="1">
      <alignment horizontal="right" vertical="center"/>
    </xf>
    <xf numFmtId="0" fontId="6" fillId="0" borderId="0" xfId="0" applyFont="1" applyAlignment="1"/>
    <xf numFmtId="0" fontId="6" fillId="0" borderId="10" xfId="0" applyFont="1" applyBorder="1" applyAlignment="1"/>
    <xf numFmtId="0" fontId="7" fillId="0" borderId="20" xfId="0" applyFont="1" applyBorder="1" applyAlignment="1">
      <alignment horizontal="right" vertical="center"/>
    </xf>
    <xf numFmtId="0" fontId="3" fillId="0" borderId="14" xfId="0" applyFont="1" applyBorder="1" applyAlignment="1" applyProtection="1">
      <alignment horizontal="center" vertical="center" wrapText="1"/>
      <protection locked="0"/>
    </xf>
    <xf numFmtId="2" fontId="3" fillId="0" borderId="21" xfId="0" applyNumberFormat="1" applyFont="1" applyBorder="1" applyAlignment="1">
      <alignment horizontal="center" vertical="center"/>
    </xf>
    <xf numFmtId="43" fontId="27" fillId="0" borderId="0" xfId="0" applyNumberFormat="1" applyFont="1" applyBorder="1" applyAlignment="1">
      <alignment horizontal="center" vertical="center"/>
    </xf>
    <xf numFmtId="43" fontId="63" fillId="0" borderId="0" xfId="0" applyNumberFormat="1" applyFont="1" applyBorder="1" applyAlignment="1">
      <alignment horizontal="right" vertical="center"/>
    </xf>
    <xf numFmtId="0" fontId="3" fillId="0" borderId="19" xfId="0" applyFont="1" applyBorder="1" applyAlignment="1">
      <alignment horizontal="center" vertical="center" wrapText="1" shrinkToFit="1"/>
    </xf>
    <xf numFmtId="2" fontId="7" fillId="0" borderId="0" xfId="0" applyNumberFormat="1" applyFont="1" applyBorder="1" applyAlignment="1">
      <alignment horizontal="center" vertical="center"/>
    </xf>
    <xf numFmtId="0" fontId="3" fillId="0" borderId="20" xfId="0" applyFont="1" applyBorder="1" applyAlignment="1">
      <alignment horizontal="justify" vertical="justify"/>
    </xf>
    <xf numFmtId="0" fontId="3" fillId="0" borderId="0" xfId="0" applyFont="1" applyBorder="1" applyAlignment="1">
      <alignment horizontal="justify" vertical="justify"/>
    </xf>
    <xf numFmtId="0" fontId="1" fillId="0" borderId="0" xfId="0" applyFont="1" applyAlignment="1">
      <alignment horizontal="center"/>
    </xf>
    <xf numFmtId="0" fontId="6" fillId="0" borderId="0" xfId="0" applyFont="1" applyAlignment="1">
      <alignment horizontal="right"/>
    </xf>
    <xf numFmtId="2" fontId="3" fillId="0" borderId="0" xfId="0" applyNumberFormat="1" applyFont="1" applyBorder="1" applyAlignment="1">
      <alignment horizontal="center" vertical="center" wrapText="1"/>
    </xf>
    <xf numFmtId="2" fontId="3" fillId="0" borderId="12" xfId="0" applyNumberFormat="1" applyFont="1" applyBorder="1" applyAlignment="1">
      <alignment horizontal="center" vertical="center" wrapText="1"/>
    </xf>
    <xf numFmtId="0" fontId="3" fillId="0" borderId="17" xfId="0" quotePrefix="1" applyFont="1" applyBorder="1" applyAlignment="1" applyProtection="1">
      <alignment horizontal="center" vertical="center"/>
      <protection locked="0"/>
    </xf>
    <xf numFmtId="2" fontId="3" fillId="0" borderId="10" xfId="0" applyNumberFormat="1" applyFont="1" applyBorder="1" applyAlignment="1">
      <alignment horizontal="center" vertical="center" wrapText="1"/>
    </xf>
    <xf numFmtId="2" fontId="3" fillId="0" borderId="15" xfId="0" applyNumberFormat="1" applyFont="1" applyBorder="1" applyAlignment="1">
      <alignment horizontal="center" vertical="center" wrapText="1"/>
    </xf>
    <xf numFmtId="2" fontId="3" fillId="0" borderId="20" xfId="0" applyNumberFormat="1" applyFont="1" applyBorder="1" applyAlignment="1">
      <alignment horizontal="center" vertical="center" wrapText="1"/>
    </xf>
    <xf numFmtId="2" fontId="3" fillId="0" borderId="21" xfId="0" applyNumberFormat="1" applyFont="1" applyBorder="1" applyAlignment="1">
      <alignment horizontal="center" vertical="center" wrapText="1"/>
    </xf>
    <xf numFmtId="3" fontId="3" fillId="0" borderId="0" xfId="0" applyNumberFormat="1" applyFont="1" applyBorder="1" applyAlignment="1">
      <alignment horizontal="center" vertical="center"/>
    </xf>
    <xf numFmtId="3" fontId="3" fillId="0" borderId="12" xfId="0" applyNumberFormat="1" applyFont="1" applyBorder="1" applyAlignment="1">
      <alignment horizontal="center" vertical="center"/>
    </xf>
    <xf numFmtId="3" fontId="3" fillId="0" borderId="11" xfId="0" applyNumberFormat="1" applyFont="1" applyBorder="1" applyAlignment="1">
      <alignment horizontal="center" vertical="center"/>
    </xf>
    <xf numFmtId="3" fontId="3" fillId="0" borderId="23" xfId="0" quotePrefix="1" applyNumberFormat="1" applyFont="1" applyBorder="1" applyAlignment="1">
      <alignment horizontal="center" vertical="center"/>
    </xf>
    <xf numFmtId="3" fontId="3" fillId="0" borderId="24" xfId="0" quotePrefix="1" applyNumberFormat="1" applyFont="1" applyBorder="1" applyAlignment="1">
      <alignment horizontal="center" vertical="center"/>
    </xf>
    <xf numFmtId="3" fontId="3" fillId="0" borderId="22" xfId="0" quotePrefix="1" applyNumberFormat="1" applyFont="1" applyBorder="1" applyAlignment="1">
      <alignment horizontal="center" vertical="center"/>
    </xf>
    <xf numFmtId="3" fontId="3" fillId="0" borderId="19" xfId="0" quotePrefix="1" applyNumberFormat="1" applyFont="1" applyBorder="1" applyAlignment="1">
      <alignment horizontal="center" vertical="center"/>
    </xf>
    <xf numFmtId="0" fontId="63" fillId="0" borderId="0" xfId="0" applyFont="1" applyBorder="1" applyAlignment="1">
      <alignment horizontal="right" vertical="center"/>
    </xf>
    <xf numFmtId="0" fontId="3" fillId="0" borderId="0" xfId="0" applyFont="1" applyFill="1" applyBorder="1" applyAlignment="1" applyProtection="1">
      <alignment horizontal="center" vertical="center"/>
      <protection locked="0"/>
    </xf>
    <xf numFmtId="0" fontId="3" fillId="0" borderId="14" xfId="0" applyFont="1" applyBorder="1" applyAlignment="1">
      <alignment horizontal="right" vertical="center"/>
    </xf>
    <xf numFmtId="0" fontId="3" fillId="0" borderId="18" xfId="0" applyFont="1" applyFill="1" applyBorder="1" applyAlignment="1">
      <alignment horizontal="center" vertical="center"/>
    </xf>
    <xf numFmtId="2" fontId="27" fillId="0" borderId="18" xfId="0" applyNumberFormat="1" applyFont="1" applyBorder="1" applyAlignment="1">
      <alignment horizontal="center" vertical="center"/>
    </xf>
    <xf numFmtId="165" fontId="3" fillId="0" borderId="0" xfId="0" quotePrefix="1" applyNumberFormat="1" applyFont="1" applyBorder="1" applyAlignment="1">
      <alignment horizontal="center" vertical="center"/>
    </xf>
    <xf numFmtId="164" fontId="2" fillId="0" borderId="16" xfId="0" applyNumberFormat="1" applyFont="1" applyBorder="1" applyAlignment="1">
      <alignment horizontal="center" vertical="center"/>
    </xf>
    <xf numFmtId="0" fontId="3" fillId="0" borderId="11" xfId="0" applyFont="1" applyBorder="1" applyAlignment="1">
      <alignment vertical="justify"/>
    </xf>
    <xf numFmtId="0" fontId="27" fillId="0" borderId="22" xfId="0" applyFont="1" applyBorder="1" applyAlignment="1">
      <alignment horizontal="center" vertical="center"/>
    </xf>
    <xf numFmtId="0" fontId="1" fillId="0" borderId="17" xfId="0" applyFont="1" applyBorder="1" applyAlignment="1">
      <alignment horizontal="center" vertical="center"/>
    </xf>
    <xf numFmtId="0" fontId="27" fillId="0" borderId="21" xfId="0" applyFont="1" applyBorder="1"/>
    <xf numFmtId="0" fontId="27" fillId="0" borderId="15" xfId="0" applyFont="1" applyBorder="1"/>
    <xf numFmtId="0" fontId="83" fillId="0" borderId="0" xfId="0" applyFont="1" applyBorder="1" applyAlignment="1">
      <alignment vertical="center"/>
    </xf>
    <xf numFmtId="1" fontId="27" fillId="0" borderId="0" xfId="0" applyNumberFormat="1" applyFont="1" applyBorder="1" applyAlignment="1" applyProtection="1">
      <alignment horizontal="center" vertical="center"/>
      <protection locked="0"/>
    </xf>
    <xf numFmtId="0" fontId="63" fillId="0" borderId="0" xfId="0" applyFont="1" applyFill="1" applyBorder="1" applyAlignment="1" applyProtection="1">
      <alignment horizontal="right" vertical="center"/>
      <protection locked="0"/>
    </xf>
    <xf numFmtId="0" fontId="3" fillId="0" borderId="20" xfId="0" applyFont="1" applyBorder="1" applyAlignment="1">
      <alignment vertical="center"/>
    </xf>
    <xf numFmtId="0" fontId="84" fillId="0" borderId="0" xfId="0" applyFont="1" applyAlignment="1">
      <alignment horizontal="right"/>
    </xf>
    <xf numFmtId="0" fontId="3" fillId="0" borderId="13" xfId="0" applyFont="1" applyBorder="1" applyAlignment="1">
      <alignment horizontal="center" vertical="top"/>
    </xf>
    <xf numFmtId="0" fontId="63" fillId="0" borderId="0" xfId="0" applyFont="1" applyBorder="1" applyAlignment="1" applyProtection="1">
      <alignment horizontal="right"/>
      <protection locked="0"/>
    </xf>
    <xf numFmtId="0" fontId="7" fillId="0" borderId="20" xfId="0" applyFont="1" applyBorder="1" applyAlignment="1">
      <alignment vertical="top"/>
    </xf>
    <xf numFmtId="0" fontId="1" fillId="0" borderId="13" xfId="0" applyFont="1" applyBorder="1" applyAlignment="1">
      <alignment horizontal="center" vertical="center"/>
    </xf>
    <xf numFmtId="0" fontId="3" fillId="0" borderId="21" xfId="0" applyFont="1" applyFill="1" applyBorder="1" applyAlignment="1">
      <alignment horizontal="center" vertical="center"/>
    </xf>
    <xf numFmtId="0" fontId="89" fillId="0" borderId="0" xfId="0" applyFont="1"/>
    <xf numFmtId="0" fontId="91" fillId="0" borderId="0" xfId="0" applyFont="1"/>
    <xf numFmtId="164" fontId="27" fillId="0" borderId="13" xfId="0" applyNumberFormat="1" applyFont="1" applyBorder="1" applyAlignment="1">
      <alignment vertical="center"/>
    </xf>
    <xf numFmtId="164" fontId="27" fillId="0" borderId="12" xfId="0" applyNumberFormat="1" applyFont="1" applyBorder="1" applyAlignment="1">
      <alignment vertical="center"/>
    </xf>
    <xf numFmtId="164" fontId="2" fillId="0" borderId="11" xfId="0" applyNumberFormat="1" applyFont="1" applyBorder="1" applyAlignment="1">
      <alignment horizontal="center" vertical="center"/>
    </xf>
    <xf numFmtId="164" fontId="27" fillId="0" borderId="11" xfId="0" applyNumberFormat="1" applyFont="1" applyFill="1" applyBorder="1" applyAlignment="1" applyProtection="1">
      <alignment horizontal="center" vertical="center"/>
      <protection locked="0"/>
    </xf>
    <xf numFmtId="164" fontId="27" fillId="0" borderId="13" xfId="0" applyNumberFormat="1" applyFont="1" applyFill="1" applyBorder="1" applyAlignment="1" applyProtection="1">
      <alignment horizontal="center" vertical="center"/>
      <protection locked="0"/>
    </xf>
    <xf numFmtId="0" fontId="10" fillId="0" borderId="0" xfId="0" applyFont="1" applyBorder="1" applyAlignment="1">
      <alignment vertical="center"/>
    </xf>
    <xf numFmtId="0" fontId="1" fillId="0" borderId="0" xfId="0" applyFont="1" applyBorder="1"/>
    <xf numFmtId="0" fontId="1" fillId="0" borderId="0" xfId="0" applyFont="1" applyBorder="1" applyAlignment="1">
      <alignment horizontal="center" vertical="center"/>
    </xf>
    <xf numFmtId="0" fontId="1" fillId="0" borderId="0" xfId="0" applyFont="1" applyFill="1" applyBorder="1" applyAlignment="1">
      <alignment horizontal="center" vertical="center"/>
    </xf>
    <xf numFmtId="0" fontId="1" fillId="0" borderId="10" xfId="0" applyFont="1" applyBorder="1" applyAlignment="1">
      <alignment horizontal="center" vertical="center"/>
    </xf>
    <xf numFmtId="0" fontId="1" fillId="0" borderId="14" xfId="0" applyFont="1" applyBorder="1" applyAlignment="1">
      <alignment horizontal="center" vertical="center"/>
    </xf>
    <xf numFmtId="0" fontId="1" fillId="0" borderId="14" xfId="0" quotePrefix="1" applyFont="1" applyBorder="1" applyAlignment="1">
      <alignment horizontal="center" vertical="center"/>
    </xf>
    <xf numFmtId="0" fontId="1" fillId="0" borderId="0" xfId="0" applyFont="1" applyAlignment="1">
      <alignment horizontal="right"/>
    </xf>
    <xf numFmtId="0" fontId="2" fillId="0" borderId="13" xfId="0" quotePrefix="1" applyFont="1" applyBorder="1" applyAlignment="1" applyProtection="1">
      <alignment horizontal="center" vertical="center"/>
      <protection locked="0"/>
    </xf>
    <xf numFmtId="0" fontId="3" fillId="0" borderId="16" xfId="0" quotePrefix="1" applyFont="1" applyBorder="1" applyAlignment="1" applyProtection="1">
      <alignment horizontal="center" vertical="center"/>
      <protection locked="0"/>
    </xf>
    <xf numFmtId="1" fontId="27" fillId="0" borderId="11" xfId="0" applyNumberFormat="1" applyFont="1" applyBorder="1" applyAlignment="1">
      <alignment horizontal="center" vertical="center"/>
    </xf>
    <xf numFmtId="1" fontId="2" fillId="0" borderId="18" xfId="0" applyNumberFormat="1" applyFont="1" applyBorder="1" applyAlignment="1">
      <alignment horizontal="center" vertical="center"/>
    </xf>
    <xf numFmtId="2" fontId="27" fillId="0" borderId="0" xfId="0" quotePrefix="1" applyNumberFormat="1" applyFont="1" applyBorder="1" applyAlignment="1">
      <alignment horizontal="center" vertical="center"/>
    </xf>
    <xf numFmtId="2" fontId="2" fillId="0" borderId="0" xfId="0" quotePrefix="1" applyNumberFormat="1" applyFont="1" applyBorder="1" applyAlignment="1">
      <alignment horizontal="center" vertical="center"/>
    </xf>
    <xf numFmtId="164" fontId="27" fillId="0" borderId="13" xfId="0" quotePrefix="1" applyNumberFormat="1" applyFont="1" applyBorder="1" applyAlignment="1">
      <alignment horizontal="center" vertical="center"/>
    </xf>
    <xf numFmtId="2" fontId="27" fillId="0" borderId="12" xfId="0" quotePrefix="1" applyNumberFormat="1" applyFont="1" applyBorder="1" applyAlignment="1">
      <alignment horizontal="center" vertical="center"/>
    </xf>
    <xf numFmtId="0" fontId="2" fillId="0" borderId="0" xfId="0" applyFont="1" applyFill="1" applyBorder="1" applyAlignment="1">
      <alignment horizontal="center" vertical="center"/>
    </xf>
    <xf numFmtId="1" fontId="27" fillId="0" borderId="18" xfId="0" applyNumberFormat="1" applyFont="1" applyBorder="1" applyAlignment="1">
      <alignment horizontal="center" vertical="center"/>
    </xf>
    <xf numFmtId="1" fontId="27" fillId="0" borderId="21" xfId="0" applyNumberFormat="1" applyFont="1" applyBorder="1" applyAlignment="1">
      <alignment horizontal="center" vertical="center"/>
    </xf>
    <xf numFmtId="1" fontId="2" fillId="0" borderId="0" xfId="0" applyNumberFormat="1" applyFont="1" applyBorder="1" applyAlignment="1">
      <alignment horizontal="center" vertical="center"/>
    </xf>
    <xf numFmtId="1" fontId="2" fillId="0" borderId="12" xfId="0" applyNumberFormat="1" applyFont="1" applyBorder="1" applyAlignment="1">
      <alignment horizontal="center" vertical="center"/>
    </xf>
    <xf numFmtId="1" fontId="27" fillId="0" borderId="13" xfId="0" applyNumberFormat="1" applyFont="1" applyBorder="1" applyAlignment="1">
      <alignment horizontal="center"/>
    </xf>
    <xf numFmtId="1" fontId="27" fillId="0" borderId="13" xfId="0" quotePrefix="1" applyNumberFormat="1" applyFont="1" applyBorder="1" applyAlignment="1">
      <alignment horizontal="center" vertical="center"/>
    </xf>
    <xf numFmtId="1" fontId="27" fillId="0" borderId="0" xfId="0" quotePrefix="1" applyNumberFormat="1" applyFont="1" applyBorder="1" applyAlignment="1">
      <alignment horizontal="center" vertical="center"/>
    </xf>
    <xf numFmtId="1" fontId="27" fillId="0" borderId="12" xfId="0" quotePrefix="1" applyNumberFormat="1" applyFont="1" applyBorder="1" applyAlignment="1">
      <alignment horizontal="center" vertical="center"/>
    </xf>
    <xf numFmtId="1" fontId="27" fillId="0" borderId="0" xfId="0" applyNumberFormat="1" applyFont="1" applyFill="1" applyBorder="1" applyAlignment="1">
      <alignment horizontal="center" vertical="center"/>
    </xf>
    <xf numFmtId="0" fontId="3" fillId="0" borderId="17" xfId="0" quotePrefix="1" applyFont="1" applyBorder="1" applyAlignment="1">
      <alignment horizontal="center" vertical="center" wrapText="1"/>
    </xf>
    <xf numFmtId="0" fontId="1" fillId="0" borderId="15" xfId="0" applyFont="1" applyBorder="1" applyAlignment="1">
      <alignment horizontal="center" vertical="center"/>
    </xf>
    <xf numFmtId="0" fontId="1" fillId="0" borderId="12" xfId="0" applyFont="1" applyBorder="1" applyAlignment="1">
      <alignment horizontal="center"/>
    </xf>
    <xf numFmtId="0" fontId="1" fillId="0" borderId="15" xfId="0" applyFont="1" applyBorder="1" applyAlignment="1">
      <alignment horizontal="center"/>
    </xf>
    <xf numFmtId="0" fontId="2" fillId="0" borderId="20" xfId="0" applyFont="1" applyBorder="1" applyAlignment="1" applyProtection="1">
      <alignment horizontal="center" vertical="center"/>
      <protection locked="0"/>
    </xf>
    <xf numFmtId="2" fontId="2" fillId="0" borderId="24" xfId="0" applyNumberFormat="1" applyFont="1" applyBorder="1" applyAlignment="1" applyProtection="1">
      <alignment horizontal="center" vertical="center"/>
    </xf>
    <xf numFmtId="0" fontId="92" fillId="0" borderId="0" xfId="0" applyFont="1"/>
    <xf numFmtId="165" fontId="27" fillId="0" borderId="21" xfId="0" applyNumberFormat="1" applyFont="1" applyBorder="1" applyAlignment="1">
      <alignment horizontal="center" vertical="center" wrapText="1"/>
    </xf>
    <xf numFmtId="0" fontId="1" fillId="0" borderId="17" xfId="0" applyFont="1" applyBorder="1" applyAlignment="1">
      <alignment horizontal="center" vertical="center" wrapText="1"/>
    </xf>
    <xf numFmtId="165" fontId="3" fillId="0" borderId="15" xfId="0" quotePrefix="1" applyNumberFormat="1" applyFont="1" applyBorder="1" applyAlignment="1">
      <alignment horizontal="center" vertical="center"/>
    </xf>
    <xf numFmtId="0" fontId="6" fillId="0" borderId="0" xfId="0" applyFont="1" applyBorder="1" applyAlignment="1">
      <alignment horizontal="center" vertical="center" wrapText="1"/>
    </xf>
    <xf numFmtId="1" fontId="3" fillId="0" borderId="17" xfId="0" applyNumberFormat="1" applyFont="1" applyBorder="1" applyAlignment="1">
      <alignment horizontal="center" vertical="center"/>
    </xf>
    <xf numFmtId="165" fontId="27" fillId="0" borderId="14" xfId="0" applyNumberFormat="1" applyFont="1" applyBorder="1" applyAlignment="1">
      <alignment horizontal="center" vertical="center"/>
    </xf>
    <xf numFmtId="1" fontId="27" fillId="0" borderId="22" xfId="0" applyNumberFormat="1" applyFont="1" applyBorder="1" applyAlignment="1">
      <alignment horizontal="center" vertical="center"/>
    </xf>
    <xf numFmtId="1" fontId="27" fillId="0" borderId="19" xfId="0" applyNumberFormat="1" applyFont="1" applyBorder="1" applyAlignment="1">
      <alignment horizontal="center" vertical="center"/>
    </xf>
    <xf numFmtId="164" fontId="2" fillId="0" borderId="13" xfId="0" applyNumberFormat="1" applyFont="1" applyFill="1" applyBorder="1" applyAlignment="1" applyProtection="1">
      <alignment horizontal="center" vertical="center"/>
      <protection locked="0"/>
    </xf>
    <xf numFmtId="0" fontId="23" fillId="0" borderId="19" xfId="0" applyFont="1" applyBorder="1" applyAlignment="1">
      <alignment horizontal="center" vertical="center"/>
    </xf>
    <xf numFmtId="0" fontId="3" fillId="0" borderId="14" xfId="0" applyFont="1" applyFill="1" applyBorder="1" applyAlignment="1">
      <alignment vertical="center"/>
    </xf>
    <xf numFmtId="0" fontId="7" fillId="0" borderId="0" xfId="0" applyFont="1" applyBorder="1" applyAlignment="1">
      <alignment vertical="top" wrapText="1"/>
    </xf>
    <xf numFmtId="0" fontId="2" fillId="0" borderId="16" xfId="0" applyFont="1" applyBorder="1" applyAlignment="1">
      <alignment vertical="center" wrapText="1"/>
    </xf>
    <xf numFmtId="0" fontId="2" fillId="0" borderId="15" xfId="0" applyFont="1" applyBorder="1" applyAlignment="1">
      <alignment vertical="center" wrapText="1"/>
    </xf>
    <xf numFmtId="0" fontId="6" fillId="0" borderId="19" xfId="0" applyFont="1" applyBorder="1" applyAlignment="1">
      <alignment horizontal="center" vertical="center" wrapText="1"/>
    </xf>
    <xf numFmtId="0" fontId="59" fillId="0" borderId="0" xfId="0" applyFont="1" applyAlignment="1">
      <alignment horizontal="left"/>
    </xf>
    <xf numFmtId="0" fontId="29" fillId="0" borderId="0" xfId="0" applyFont="1" applyAlignment="1">
      <alignment vertical="center"/>
    </xf>
    <xf numFmtId="0" fontId="31" fillId="0" borderId="0" xfId="0" applyFont="1" applyAlignment="1">
      <alignment vertical="center"/>
    </xf>
    <xf numFmtId="0" fontId="3" fillId="0" borderId="0" xfId="0" quotePrefix="1" applyFont="1" applyFill="1" applyBorder="1" applyAlignment="1">
      <alignment vertical="center"/>
    </xf>
    <xf numFmtId="0" fontId="9" fillId="0" borderId="0" xfId="0" applyFont="1" applyAlignment="1">
      <alignment horizontal="center" vertical="center"/>
    </xf>
    <xf numFmtId="0" fontId="9" fillId="0" borderId="0" xfId="0" applyFont="1" applyAlignment="1">
      <alignment horizontal="right" vertical="center"/>
    </xf>
    <xf numFmtId="0" fontId="2" fillId="0" borderId="0" xfId="0" applyFont="1" applyAlignment="1">
      <alignment horizontal="right" vertical="center"/>
    </xf>
    <xf numFmtId="1" fontId="27" fillId="0" borderId="11" xfId="0" applyNumberFormat="1" applyFont="1" applyBorder="1" applyAlignment="1" applyProtection="1">
      <alignment horizontal="center" vertical="center"/>
      <protection locked="0"/>
    </xf>
    <xf numFmtId="1" fontId="27" fillId="0" borderId="0" xfId="0" quotePrefix="1" applyNumberFormat="1" applyFont="1" applyBorder="1" applyAlignment="1" applyProtection="1">
      <alignment horizontal="center" vertical="center"/>
      <protection locked="0"/>
    </xf>
    <xf numFmtId="1" fontId="2" fillId="0" borderId="23" xfId="0" applyNumberFormat="1" applyFont="1" applyBorder="1" applyAlignment="1">
      <alignment horizontal="center" vertical="center"/>
    </xf>
    <xf numFmtId="1" fontId="27" fillId="0" borderId="11" xfId="0" quotePrefix="1" applyNumberFormat="1" applyFont="1" applyBorder="1" applyAlignment="1" applyProtection="1">
      <alignment horizontal="center" vertical="center"/>
      <protection locked="0"/>
    </xf>
    <xf numFmtId="1" fontId="27" fillId="0" borderId="11" xfId="0" quotePrefix="1" applyNumberFormat="1" applyFont="1" applyFill="1" applyBorder="1" applyAlignment="1">
      <alignment horizontal="center" vertical="center"/>
    </xf>
    <xf numFmtId="1" fontId="3" fillId="0" borderId="11" xfId="0" quotePrefix="1" applyNumberFormat="1" applyFont="1" applyFill="1" applyBorder="1" applyAlignment="1">
      <alignment horizontal="center" vertical="center"/>
    </xf>
    <xf numFmtId="3" fontId="8" fillId="0" borderId="0" xfId="0" applyNumberFormat="1" applyFont="1"/>
    <xf numFmtId="1" fontId="27" fillId="0" borderId="20" xfId="0" applyNumberFormat="1" applyFont="1" applyBorder="1" applyAlignment="1">
      <alignment horizontal="center" vertical="center"/>
    </xf>
    <xf numFmtId="0" fontId="96" fillId="0" borderId="14" xfId="39" applyFont="1" applyFill="1" applyBorder="1" applyAlignment="1">
      <alignment horizontal="center" vertical="center"/>
    </xf>
    <xf numFmtId="0" fontId="27" fillId="0" borderId="21" xfId="0" applyFont="1" applyBorder="1" applyAlignment="1" applyProtection="1">
      <alignment horizontal="center" vertical="center"/>
      <protection locked="0"/>
    </xf>
    <xf numFmtId="2" fontId="2" fillId="0" borderId="19" xfId="0" applyNumberFormat="1" applyFont="1" applyBorder="1" applyAlignment="1" applyProtection="1">
      <alignment horizontal="center" vertical="center"/>
      <protection locked="0"/>
    </xf>
    <xf numFmtId="0" fontId="2" fillId="0" borderId="17" xfId="0" quotePrefix="1"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7" fillId="0" borderId="0" xfId="0" applyFont="1" applyFill="1" applyBorder="1"/>
    <xf numFmtId="0" fontId="0" fillId="0" borderId="0" xfId="0" applyAlignment="1">
      <alignment horizontal="center" vertical="center"/>
    </xf>
    <xf numFmtId="0" fontId="2" fillId="0" borderId="24" xfId="0" applyFont="1" applyBorder="1" applyAlignment="1" applyProtection="1">
      <alignment horizontal="center" vertical="center"/>
      <protection locked="0"/>
    </xf>
    <xf numFmtId="0" fontId="3" fillId="0" borderId="0" xfId="0" applyFont="1" applyBorder="1" applyAlignment="1" applyProtection="1">
      <alignment horizontal="left" vertical="center"/>
      <protection locked="0"/>
    </xf>
    <xf numFmtId="0" fontId="3" fillId="0" borderId="20" xfId="0" quotePrefix="1" applyFont="1" applyFill="1" applyBorder="1" applyAlignment="1">
      <alignment horizontal="center" vertical="center"/>
    </xf>
    <xf numFmtId="2" fontId="2" fillId="0" borderId="18" xfId="0" applyNumberFormat="1" applyFont="1" applyBorder="1" applyAlignment="1" applyProtection="1">
      <alignment horizontal="center" vertical="center"/>
      <protection locked="0"/>
    </xf>
    <xf numFmtId="2" fontId="2" fillId="0" borderId="20" xfId="0" applyNumberFormat="1" applyFont="1" applyBorder="1" applyAlignment="1">
      <alignment horizontal="center" vertical="center"/>
    </xf>
    <xf numFmtId="2" fontId="2" fillId="0" borderId="21" xfId="0" applyNumberFormat="1" applyFont="1" applyBorder="1" applyAlignment="1">
      <alignment horizontal="center" vertical="center"/>
    </xf>
    <xf numFmtId="2" fontId="3" fillId="0" borderId="0" xfId="0" applyNumberFormat="1" applyFont="1" applyBorder="1" applyAlignment="1" applyProtection="1">
      <alignment horizontal="center" vertical="center"/>
      <protection locked="0"/>
    </xf>
    <xf numFmtId="2" fontId="2" fillId="0" borderId="11" xfId="0" applyNumberFormat="1" applyFont="1" applyBorder="1" applyAlignment="1" applyProtection="1">
      <alignment horizontal="center" vertical="center"/>
      <protection locked="0"/>
    </xf>
    <xf numFmtId="2" fontId="3" fillId="0" borderId="11" xfId="0" applyNumberFormat="1" applyFont="1" applyBorder="1" applyAlignment="1" applyProtection="1">
      <alignment horizontal="center" vertical="center"/>
      <protection locked="0"/>
    </xf>
    <xf numFmtId="2" fontId="2" fillId="0" borderId="16" xfId="0" applyNumberFormat="1" applyFont="1" applyBorder="1" applyAlignment="1" applyProtection="1">
      <alignment horizontal="center" vertical="center"/>
      <protection locked="0"/>
    </xf>
    <xf numFmtId="2" fontId="2" fillId="0" borderId="10" xfId="0" applyNumberFormat="1" applyFont="1" applyBorder="1" applyAlignment="1" applyProtection="1">
      <alignment horizontal="center" vertical="center"/>
      <protection locked="0"/>
    </xf>
    <xf numFmtId="2" fontId="2" fillId="0" borderId="15" xfId="0" applyNumberFormat="1" applyFont="1" applyBorder="1" applyAlignment="1" applyProtection="1">
      <alignment horizontal="center" vertical="center"/>
      <protection locked="0"/>
    </xf>
    <xf numFmtId="0" fontId="2" fillId="0" borderId="17" xfId="0" applyFont="1" applyBorder="1" applyAlignment="1">
      <alignment horizontal="right" vertical="center"/>
    </xf>
    <xf numFmtId="2" fontId="2" fillId="0" borderId="22" xfId="0" applyNumberFormat="1" applyFont="1" applyBorder="1" applyAlignment="1" applyProtection="1">
      <alignment horizontal="center" vertical="center"/>
      <protection locked="0"/>
    </xf>
    <xf numFmtId="2" fontId="2" fillId="0" borderId="23" xfId="0" applyNumberFormat="1" applyFont="1" applyBorder="1" applyAlignment="1" applyProtection="1">
      <alignment horizontal="center" vertical="center"/>
      <protection locked="0"/>
    </xf>
    <xf numFmtId="2" fontId="2" fillId="0" borderId="24" xfId="0" applyNumberFormat="1" applyFont="1" applyBorder="1" applyAlignment="1" applyProtection="1">
      <alignment horizontal="center" vertical="center"/>
      <protection locked="0"/>
    </xf>
    <xf numFmtId="0" fontId="7" fillId="0" borderId="20" xfId="0" applyFont="1" applyBorder="1" applyAlignment="1" applyProtection="1">
      <alignment horizontal="left" vertical="top"/>
      <protection locked="0"/>
    </xf>
    <xf numFmtId="0" fontId="7" fillId="0" borderId="20" xfId="0" applyFont="1" applyBorder="1" applyAlignment="1">
      <alignment horizontal="center" vertical="top"/>
    </xf>
    <xf numFmtId="0" fontId="3" fillId="0" borderId="20" xfId="0" applyFont="1" applyBorder="1" applyAlignment="1" applyProtection="1">
      <alignment horizontal="left" vertical="center"/>
      <protection locked="0"/>
    </xf>
    <xf numFmtId="0" fontId="7" fillId="0" borderId="0" xfId="0" applyFont="1" applyAlignment="1" applyProtection="1">
      <alignment horizontal="right" vertical="top"/>
      <protection locked="0"/>
    </xf>
    <xf numFmtId="0" fontId="7" fillId="0" borderId="0" xfId="0" applyFont="1" applyAlignment="1">
      <alignment horizontal="center" vertical="top"/>
    </xf>
    <xf numFmtId="0" fontId="0" fillId="0" borderId="11" xfId="0" applyBorder="1" applyAlignment="1">
      <alignment horizontal="center" vertical="center"/>
    </xf>
    <xf numFmtId="0" fontId="2" fillId="0" borderId="11" xfId="0" applyFont="1" applyFill="1" applyBorder="1" applyAlignment="1" applyProtection="1">
      <alignment horizontal="center" vertical="center"/>
      <protection locked="0"/>
    </xf>
    <xf numFmtId="1" fontId="27" fillId="0" borderId="17" xfId="0" applyNumberFormat="1" applyFont="1" applyFill="1" applyBorder="1" applyAlignment="1">
      <alignment horizontal="center" vertical="center"/>
    </xf>
    <xf numFmtId="165" fontId="27" fillId="0" borderId="13" xfId="0" applyNumberFormat="1" applyFont="1" applyBorder="1" applyAlignment="1">
      <alignment horizontal="center" vertical="center"/>
    </xf>
    <xf numFmtId="0" fontId="3" fillId="0" borderId="14" xfId="0" applyFont="1" applyBorder="1" applyAlignment="1" applyProtection="1">
      <alignment horizontal="center" vertical="center"/>
    </xf>
    <xf numFmtId="0" fontId="27" fillId="0" borderId="10" xfId="0" applyFont="1" applyBorder="1" applyAlignment="1" applyProtection="1">
      <alignment horizontal="center" vertical="center"/>
    </xf>
    <xf numFmtId="0" fontId="2" fillId="0" borderId="12" xfId="0" applyFont="1" applyBorder="1" applyAlignment="1">
      <alignment horizontal="left" vertical="top" wrapText="1"/>
    </xf>
    <xf numFmtId="0" fontId="3" fillId="0" borderId="12" xfId="0" quotePrefix="1" applyFont="1" applyBorder="1" applyAlignment="1">
      <alignment horizontal="center" vertical="center"/>
    </xf>
    <xf numFmtId="0" fontId="2" fillId="0" borderId="15" xfId="0" applyFont="1" applyBorder="1" applyAlignment="1">
      <alignment horizontal="left" vertical="top" wrapText="1"/>
    </xf>
    <xf numFmtId="0" fontId="92" fillId="0" borderId="0" xfId="0" applyFont="1" applyAlignment="1">
      <alignment horizontal="left"/>
    </xf>
    <xf numFmtId="0" fontId="7" fillId="0" borderId="20" xfId="0" applyFont="1" applyFill="1" applyBorder="1" applyAlignment="1"/>
    <xf numFmtId="0" fontId="3" fillId="0" borderId="18" xfId="0" applyFont="1" applyBorder="1" applyAlignment="1">
      <alignment vertical="center"/>
    </xf>
    <xf numFmtId="0" fontId="2" fillId="0" borderId="15" xfId="0" applyFont="1" applyBorder="1" applyAlignment="1">
      <alignment horizontal="left" vertical="center"/>
    </xf>
    <xf numFmtId="0" fontId="3" fillId="0" borderId="22" xfId="0" applyFont="1" applyBorder="1" applyAlignment="1">
      <alignment vertical="center"/>
    </xf>
    <xf numFmtId="0" fontId="3" fillId="0" borderId="22" xfId="0" quotePrefix="1" applyFont="1" applyBorder="1" applyAlignment="1">
      <alignment vertical="center"/>
    </xf>
    <xf numFmtId="0" fontId="2" fillId="0" borderId="22" xfId="0" applyFont="1" applyFill="1" applyBorder="1" applyAlignment="1">
      <alignment vertical="center"/>
    </xf>
    <xf numFmtId="0" fontId="3" fillId="0" borderId="14" xfId="0" applyFont="1" applyBorder="1" applyAlignment="1">
      <alignment vertical="center" wrapText="1"/>
    </xf>
    <xf numFmtId="0" fontId="2" fillId="0" borderId="14" xfId="0" applyFont="1" applyBorder="1" applyAlignment="1">
      <alignment vertical="center" wrapText="1"/>
    </xf>
    <xf numFmtId="0" fontId="3" fillId="0" borderId="0" xfId="0" applyFont="1" applyBorder="1" applyAlignment="1">
      <alignment horizontal="center" vertical="center" wrapText="1"/>
    </xf>
    <xf numFmtId="165" fontId="3" fillId="0" borderId="0" xfId="0" applyNumberFormat="1" applyFont="1" applyBorder="1" applyAlignment="1">
      <alignment horizontal="center" vertical="center" wrapText="1"/>
    </xf>
    <xf numFmtId="0" fontId="98" fillId="0" borderId="0" xfId="0" applyFont="1"/>
    <xf numFmtId="0" fontId="99" fillId="0" borderId="0" xfId="0" applyFont="1" applyBorder="1" applyAlignment="1" applyProtection="1">
      <alignment horizontal="center" vertical="center"/>
      <protection locked="0"/>
    </xf>
    <xf numFmtId="1" fontId="27" fillId="0" borderId="24" xfId="0" applyNumberFormat="1" applyFont="1" applyBorder="1" applyAlignment="1">
      <alignment horizontal="center" vertical="center"/>
    </xf>
    <xf numFmtId="1" fontId="2" fillId="0" borderId="16" xfId="0" applyNumberFormat="1" applyFont="1" applyBorder="1" applyAlignment="1">
      <alignment horizontal="center" vertical="center"/>
    </xf>
    <xf numFmtId="0" fontId="7" fillId="0" borderId="20" xfId="0" applyFont="1" applyBorder="1" applyAlignment="1" applyProtection="1">
      <alignment vertical="center"/>
      <protection locked="0"/>
    </xf>
    <xf numFmtId="1" fontId="27" fillId="0" borderId="11" xfId="0" quotePrefix="1" applyNumberFormat="1" applyFont="1" applyBorder="1" applyAlignment="1">
      <alignment horizontal="center" vertical="center"/>
    </xf>
    <xf numFmtId="1" fontId="27" fillId="0" borderId="16" xfId="0" quotePrefix="1" applyNumberFormat="1" applyFont="1" applyBorder="1" applyAlignment="1">
      <alignment horizontal="center" vertical="center"/>
    </xf>
    <xf numFmtId="1" fontId="27" fillId="0" borderId="13" xfId="0" applyNumberFormat="1" applyFont="1" applyBorder="1" applyAlignment="1">
      <alignment vertical="center"/>
    </xf>
    <xf numFmtId="165" fontId="27" fillId="0" borderId="0" xfId="0" applyNumberFormat="1" applyFont="1" applyBorder="1" applyAlignment="1">
      <alignment horizontal="center" vertical="center" wrapText="1"/>
    </xf>
    <xf numFmtId="0" fontId="3" fillId="0" borderId="14" xfId="0" quotePrefix="1" applyFont="1" applyFill="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pplyProtection="1">
      <alignment horizontal="center" vertical="center"/>
      <protection locked="0"/>
    </xf>
    <xf numFmtId="0" fontId="7" fillId="0" borderId="20" xfId="0" applyFont="1" applyBorder="1" applyAlignment="1">
      <alignment horizontal="right" vertical="center"/>
    </xf>
    <xf numFmtId="0" fontId="3" fillId="0" borderId="13" xfId="0" applyFont="1" applyBorder="1" applyAlignment="1">
      <alignment horizontal="center" vertical="center"/>
    </xf>
    <xf numFmtId="0" fontId="3" fillId="0" borderId="19" xfId="0" applyFont="1" applyBorder="1" applyAlignment="1">
      <alignment horizontal="center" vertical="center"/>
    </xf>
    <xf numFmtId="0" fontId="3" fillId="0" borderId="16" xfId="0" applyFont="1" applyBorder="1" applyAlignment="1">
      <alignment horizontal="center" vertical="center"/>
    </xf>
    <xf numFmtId="1" fontId="3" fillId="0" borderId="11" xfId="0" applyNumberFormat="1" applyFont="1" applyBorder="1" applyAlignment="1">
      <alignment horizontal="center" vertical="center"/>
    </xf>
    <xf numFmtId="2" fontId="3" fillId="0" borderId="0" xfId="0" applyNumberFormat="1" applyFont="1" applyBorder="1" applyAlignment="1">
      <alignment horizontal="center" vertical="center"/>
    </xf>
    <xf numFmtId="2" fontId="3" fillId="0" borderId="13" xfId="0" applyNumberFormat="1" applyFont="1" applyBorder="1" applyAlignment="1">
      <alignment horizontal="center" vertical="center"/>
    </xf>
    <xf numFmtId="0" fontId="49" fillId="0" borderId="0" xfId="0" applyFont="1" applyBorder="1" applyAlignment="1">
      <alignment horizontal="right"/>
    </xf>
    <xf numFmtId="0" fontId="49" fillId="0" borderId="0" xfId="0" applyFont="1" applyBorder="1" applyAlignment="1">
      <alignment horizontal="right" vertical="center" wrapText="1"/>
    </xf>
    <xf numFmtId="0" fontId="3" fillId="0" borderId="13" xfId="0" applyFont="1" applyBorder="1" applyAlignment="1">
      <alignment horizontal="center" vertical="center"/>
    </xf>
    <xf numFmtId="0" fontId="3" fillId="0" borderId="19" xfId="0" applyFont="1" applyBorder="1" applyAlignment="1">
      <alignment horizontal="center" vertical="center"/>
    </xf>
    <xf numFmtId="165" fontId="27" fillId="0" borderId="10" xfId="0" applyNumberFormat="1"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1" fontId="3" fillId="0" borderId="12" xfId="0" applyNumberFormat="1" applyFont="1" applyBorder="1" applyAlignment="1">
      <alignment horizontal="center" vertical="center"/>
    </xf>
    <xf numFmtId="1" fontId="27" fillId="0" borderId="13" xfId="0" applyNumberFormat="1"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Fill="1" applyBorder="1" applyAlignment="1">
      <alignment horizontal="center" vertical="center"/>
    </xf>
    <xf numFmtId="0" fontId="3" fillId="0" borderId="10" xfId="0" applyFont="1" applyBorder="1" applyAlignment="1">
      <alignment horizontal="center" vertical="center"/>
    </xf>
    <xf numFmtId="0" fontId="2" fillId="0" borderId="0" xfId="0" applyFont="1" applyAlignment="1">
      <alignment horizontal="center" vertical="center"/>
    </xf>
    <xf numFmtId="0" fontId="2" fillId="0" borderId="10"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3" xfId="0" applyFont="1" applyBorder="1" applyAlignment="1">
      <alignment horizontal="center" vertical="center"/>
    </xf>
    <xf numFmtId="0" fontId="3" fillId="0" borderId="12" xfId="0" applyFont="1" applyBorder="1" applyAlignment="1">
      <alignment horizontal="center"/>
    </xf>
    <xf numFmtId="0" fontId="3" fillId="0" borderId="11" xfId="0" applyFont="1" applyBorder="1" applyAlignment="1">
      <alignment horizontal="center" vertical="center"/>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2" fillId="0" borderId="0" xfId="38" applyFont="1" applyAlignment="1">
      <alignment horizontal="center" vertical="center"/>
    </xf>
    <xf numFmtId="0" fontId="1" fillId="0" borderId="0" xfId="38" applyFont="1"/>
    <xf numFmtId="0" fontId="32" fillId="0" borderId="0" xfId="38" applyFont="1" applyBorder="1" applyAlignment="1">
      <alignment horizontal="center" vertical="top"/>
    </xf>
    <xf numFmtId="0" fontId="2" fillId="0" borderId="0" xfId="38" applyFont="1" applyBorder="1" applyAlignment="1">
      <alignment horizontal="center" vertical="center"/>
    </xf>
    <xf numFmtId="0" fontId="3" fillId="0" borderId="0" xfId="38" applyFont="1" applyBorder="1" applyAlignment="1">
      <alignment horizontal="center" vertical="center"/>
    </xf>
    <xf numFmtId="0" fontId="3" fillId="0" borderId="16" xfId="38" applyFont="1" applyBorder="1" applyAlignment="1">
      <alignment horizontal="center" vertical="center"/>
    </xf>
    <xf numFmtId="0" fontId="3" fillId="0" borderId="20" xfId="38" applyFont="1" applyBorder="1" applyAlignment="1">
      <alignment horizontal="center" vertical="center"/>
    </xf>
    <xf numFmtId="0" fontId="3" fillId="0" borderId="10" xfId="38" applyFont="1" applyBorder="1" applyAlignment="1">
      <alignment horizontal="center" vertical="center"/>
    </xf>
    <xf numFmtId="0" fontId="3" fillId="0" borderId="15" xfId="38" applyFont="1" applyBorder="1" applyAlignment="1">
      <alignment horizontal="center" vertical="center"/>
    </xf>
    <xf numFmtId="0" fontId="3" fillId="0" borderId="19" xfId="38" quotePrefix="1" applyFont="1" applyBorder="1" applyAlignment="1">
      <alignment horizontal="center" vertical="center" wrapText="1"/>
    </xf>
    <xf numFmtId="0" fontId="3" fillId="0" borderId="23" xfId="38" quotePrefix="1" applyFont="1" applyBorder="1" applyAlignment="1">
      <alignment horizontal="center" vertical="center"/>
    </xf>
    <xf numFmtId="0" fontId="3" fillId="0" borderId="22" xfId="38" quotePrefix="1" applyFont="1" applyBorder="1" applyAlignment="1">
      <alignment horizontal="center" vertical="center"/>
    </xf>
    <xf numFmtId="0" fontId="3" fillId="0" borderId="24" xfId="38" quotePrefix="1" applyFont="1" applyBorder="1" applyAlignment="1">
      <alignment horizontal="center" vertical="center"/>
    </xf>
    <xf numFmtId="0" fontId="3" fillId="0" borderId="0" xfId="38" quotePrefix="1" applyFont="1" applyBorder="1" applyAlignment="1">
      <alignment horizontal="center" vertical="center"/>
    </xf>
    <xf numFmtId="0" fontId="3" fillId="0" borderId="10" xfId="38" quotePrefix="1" applyFont="1" applyBorder="1" applyAlignment="1">
      <alignment horizontal="center" vertical="center"/>
    </xf>
    <xf numFmtId="0" fontId="3" fillId="0" borderId="13" xfId="38" applyFont="1" applyBorder="1" applyAlignment="1">
      <alignment horizontal="center" vertical="center"/>
    </xf>
    <xf numFmtId="0" fontId="3" fillId="0" borderId="0" xfId="38" applyFont="1" applyBorder="1" applyAlignment="1">
      <alignment vertical="center"/>
    </xf>
    <xf numFmtId="0" fontId="0" fillId="0" borderId="20" xfId="0" applyBorder="1" applyAlignment="1">
      <alignment horizontal="center"/>
    </xf>
    <xf numFmtId="0" fontId="0" fillId="0" borderId="21" xfId="0" applyBorder="1" applyAlignment="1">
      <alignment horizontal="center"/>
    </xf>
    <xf numFmtId="1" fontId="3" fillId="0" borderId="18" xfId="38" quotePrefix="1" applyNumberFormat="1" applyFont="1" applyBorder="1" applyAlignment="1">
      <alignment horizontal="center" vertical="center"/>
    </xf>
    <xf numFmtId="165" fontId="3" fillId="0" borderId="20" xfId="38" quotePrefix="1" applyNumberFormat="1" applyFont="1" applyBorder="1" applyAlignment="1">
      <alignment horizontal="center" vertical="center"/>
    </xf>
    <xf numFmtId="1" fontId="3" fillId="0" borderId="20" xfId="38" quotePrefix="1" applyNumberFormat="1" applyFont="1" applyBorder="1" applyAlignment="1">
      <alignment horizontal="center" vertical="center"/>
    </xf>
    <xf numFmtId="1" fontId="3" fillId="0" borderId="21" xfId="38" quotePrefix="1" applyNumberFormat="1" applyFont="1" applyBorder="1" applyAlignment="1">
      <alignment horizontal="center" vertical="center"/>
    </xf>
    <xf numFmtId="0" fontId="7" fillId="0" borderId="0" xfId="38" applyFont="1" applyBorder="1" applyAlignment="1">
      <alignment horizontal="center" vertical="center"/>
    </xf>
    <xf numFmtId="1" fontId="3" fillId="0" borderId="11" xfId="38" quotePrefix="1" applyNumberFormat="1" applyFont="1" applyBorder="1" applyAlignment="1">
      <alignment horizontal="center" vertical="center"/>
    </xf>
    <xf numFmtId="165" fontId="3" fillId="0" borderId="0" xfId="38" quotePrefix="1" applyNumberFormat="1" applyFont="1" applyBorder="1" applyAlignment="1">
      <alignment horizontal="center" vertical="center"/>
    </xf>
    <xf numFmtId="1" fontId="3" fillId="0" borderId="0" xfId="38" quotePrefix="1" applyNumberFormat="1" applyFont="1" applyBorder="1" applyAlignment="1">
      <alignment horizontal="center" vertical="center"/>
    </xf>
    <xf numFmtId="1" fontId="7" fillId="0" borderId="0" xfId="38" applyNumberFormat="1" applyFont="1" applyBorder="1" applyAlignment="1">
      <alignment horizontal="center" vertical="center"/>
    </xf>
    <xf numFmtId="0" fontId="3" fillId="0" borderId="11" xfId="38" applyFont="1" applyBorder="1" applyAlignment="1">
      <alignment vertical="center"/>
    </xf>
    <xf numFmtId="1" fontId="3" fillId="0" borderId="12" xfId="38" quotePrefix="1" applyNumberFormat="1" applyFont="1" applyBorder="1" applyAlignment="1">
      <alignment horizontal="center" vertical="center"/>
    </xf>
    <xf numFmtId="0" fontId="0" fillId="0" borderId="11" xfId="0" quotePrefix="1" applyBorder="1" applyAlignment="1">
      <alignment horizontal="center"/>
    </xf>
    <xf numFmtId="0" fontId="0" fillId="0" borderId="0" xfId="0" quotePrefix="1" applyBorder="1" applyAlignment="1">
      <alignment horizontal="center"/>
    </xf>
    <xf numFmtId="0" fontId="0" fillId="0" borderId="12" xfId="0" applyBorder="1" applyAlignment="1">
      <alignment horizontal="center"/>
    </xf>
    <xf numFmtId="0" fontId="0" fillId="0" borderId="11" xfId="0" applyBorder="1"/>
    <xf numFmtId="0" fontId="0" fillId="0" borderId="12" xfId="0" applyBorder="1"/>
    <xf numFmtId="1" fontId="3" fillId="0" borderId="11" xfId="38" applyNumberFormat="1" applyFont="1" applyBorder="1" applyAlignment="1">
      <alignment horizontal="center" vertical="center"/>
    </xf>
    <xf numFmtId="0" fontId="0" fillId="0" borderId="11" xfId="0" applyBorder="1" applyAlignment="1">
      <alignment horizontal="center"/>
    </xf>
    <xf numFmtId="1" fontId="7" fillId="0" borderId="0" xfId="38" quotePrefix="1" applyNumberFormat="1" applyFont="1" applyBorder="1" applyAlignment="1">
      <alignment horizontal="center" vertical="center"/>
    </xf>
    <xf numFmtId="1" fontId="3" fillId="0" borderId="11" xfId="38" applyNumberFormat="1" applyFont="1" applyFill="1" applyBorder="1" applyAlignment="1">
      <alignment horizontal="center" vertical="center"/>
    </xf>
    <xf numFmtId="165" fontId="3" fillId="0" borderId="0" xfId="38" applyNumberFormat="1" applyFont="1" applyFill="1" applyBorder="1" applyAlignment="1">
      <alignment horizontal="center" vertical="center"/>
    </xf>
    <xf numFmtId="1" fontId="3" fillId="0" borderId="0" xfId="38" applyNumberFormat="1" applyFont="1" applyFill="1" applyBorder="1" applyAlignment="1">
      <alignment horizontal="center" vertical="center"/>
    </xf>
    <xf numFmtId="165" fontId="3" fillId="0" borderId="0" xfId="38" applyNumberFormat="1" applyFont="1" applyBorder="1" applyAlignment="1">
      <alignment horizontal="center" vertical="center"/>
    </xf>
    <xf numFmtId="0" fontId="0" fillId="0" borderId="0" xfId="0" applyFill="1" applyBorder="1" applyAlignment="1">
      <alignment horizontal="center"/>
    </xf>
    <xf numFmtId="0" fontId="3" fillId="0" borderId="14" xfId="38" applyFont="1" applyBorder="1" applyAlignment="1">
      <alignment horizontal="center" vertical="center"/>
    </xf>
    <xf numFmtId="0" fontId="3" fillId="0" borderId="10" xfId="38" applyFont="1" applyBorder="1" applyAlignment="1">
      <alignment vertical="center"/>
    </xf>
    <xf numFmtId="0" fontId="0" fillId="0" borderId="16" xfId="0" applyBorder="1" applyAlignment="1">
      <alignment horizontal="center"/>
    </xf>
    <xf numFmtId="0" fontId="0" fillId="0" borderId="10" xfId="0" applyBorder="1" applyAlignment="1">
      <alignment horizontal="center"/>
    </xf>
    <xf numFmtId="0" fontId="0" fillId="0" borderId="15" xfId="0" applyBorder="1" applyAlignment="1">
      <alignment horizontal="center"/>
    </xf>
    <xf numFmtId="1" fontId="3" fillId="0" borderId="16" xfId="38" quotePrefix="1" applyNumberFormat="1" applyFont="1" applyBorder="1" applyAlignment="1">
      <alignment horizontal="center" vertical="center"/>
    </xf>
    <xf numFmtId="165" fontId="3" fillId="0" borderId="10" xfId="38" quotePrefix="1" applyNumberFormat="1" applyFont="1" applyBorder="1" applyAlignment="1">
      <alignment horizontal="center" vertical="center"/>
    </xf>
    <xf numFmtId="1" fontId="3" fillId="0" borderId="10" xfId="38" quotePrefix="1" applyNumberFormat="1" applyFont="1" applyBorder="1" applyAlignment="1">
      <alignment horizontal="center" vertical="center"/>
    </xf>
    <xf numFmtId="1" fontId="3" fillId="0" borderId="15" xfId="38" quotePrefix="1" applyNumberFormat="1" applyFont="1" applyBorder="1" applyAlignment="1">
      <alignment horizontal="center" vertical="center"/>
    </xf>
    <xf numFmtId="0" fontId="3" fillId="0" borderId="16" xfId="38" applyFont="1" applyBorder="1" applyAlignment="1">
      <alignment vertical="center"/>
    </xf>
    <xf numFmtId="0" fontId="3" fillId="0" borderId="0" xfId="38" applyFont="1"/>
    <xf numFmtId="0" fontId="7" fillId="0" borderId="0" xfId="38" applyFont="1" applyAlignment="1">
      <alignment horizontal="right"/>
    </xf>
    <xf numFmtId="0" fontId="3" fillId="0" borderId="0" xfId="38" applyFont="1" applyAlignment="1">
      <alignment horizontal="right"/>
    </xf>
    <xf numFmtId="0" fontId="7" fillId="0" borderId="0" xfId="38" applyFont="1"/>
    <xf numFmtId="0" fontId="7" fillId="0" borderId="0" xfId="38" applyFont="1" applyAlignment="1">
      <alignment horizontal="left"/>
    </xf>
    <xf numFmtId="0" fontId="3" fillId="0" borderId="13" xfId="0" applyFont="1" applyBorder="1" applyAlignment="1">
      <alignment horizontal="center" vertical="center"/>
    </xf>
    <xf numFmtId="0" fontId="3" fillId="0" borderId="13" xfId="0" quotePrefix="1" applyFont="1" applyFill="1" applyBorder="1" applyAlignment="1">
      <alignment horizontal="center" vertical="center"/>
    </xf>
    <xf numFmtId="2" fontId="2" fillId="0" borderId="12" xfId="0" quotePrefix="1" applyNumberFormat="1" applyFont="1" applyBorder="1" applyAlignment="1">
      <alignment horizontal="center" vertical="center"/>
    </xf>
    <xf numFmtId="0" fontId="27" fillId="0" borderId="17" xfId="0" applyFont="1" applyBorder="1" applyAlignment="1" applyProtection="1">
      <alignment horizontal="center" vertical="center"/>
    </xf>
    <xf numFmtId="0" fontId="27" fillId="0" borderId="13"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3" xfId="0" quotePrefix="1" applyFont="1" applyBorder="1" applyAlignment="1" applyProtection="1">
      <alignment horizontal="center" vertical="center"/>
      <protection locked="0"/>
    </xf>
    <xf numFmtId="0" fontId="3" fillId="0" borderId="13" xfId="0" applyFont="1" applyBorder="1" applyAlignment="1" applyProtection="1">
      <alignment horizontal="center" vertical="center"/>
    </xf>
    <xf numFmtId="0" fontId="27" fillId="0" borderId="13" xfId="0" quotePrefix="1" applyFont="1" applyBorder="1" applyAlignment="1" applyProtection="1">
      <alignment horizontal="center" vertical="center"/>
      <protection locked="0"/>
    </xf>
    <xf numFmtId="0" fontId="3" fillId="0" borderId="13" xfId="0" applyFont="1" applyBorder="1" applyAlignment="1" applyProtection="1">
      <alignment horizontal="center"/>
      <protection locked="0"/>
    </xf>
    <xf numFmtId="0" fontId="3" fillId="0" borderId="13" xfId="0" quotePrefix="1" applyFont="1" applyBorder="1" applyAlignment="1" applyProtection="1">
      <alignment horizontal="center"/>
      <protection locked="0"/>
    </xf>
    <xf numFmtId="0" fontId="3" fillId="0" borderId="13" xfId="0" quotePrefix="1" applyFont="1" applyBorder="1" applyAlignment="1" applyProtection="1">
      <alignment horizontal="center" vertical="center"/>
    </xf>
    <xf numFmtId="0" fontId="27" fillId="0" borderId="0" xfId="0" applyFont="1" applyAlignment="1">
      <alignment horizontal="center"/>
    </xf>
    <xf numFmtId="0" fontId="3" fillId="0" borderId="0" xfId="0" applyFont="1" applyBorder="1" applyAlignment="1">
      <alignment vertical="center"/>
    </xf>
    <xf numFmtId="0" fontId="27" fillId="0" borderId="18" xfId="0" applyFont="1" applyBorder="1" applyAlignment="1">
      <alignment horizontal="center"/>
    </xf>
    <xf numFmtId="0" fontId="27" fillId="0" borderId="11" xfId="0" applyFont="1" applyBorder="1" applyAlignment="1">
      <alignment horizontal="center"/>
    </xf>
    <xf numFmtId="0" fontId="0" fillId="0" borderId="11" xfId="0" applyBorder="1" applyAlignment="1">
      <alignment vertical="center"/>
    </xf>
    <xf numFmtId="0" fontId="101" fillId="0" borderId="19" xfId="0" applyFont="1" applyBorder="1" applyAlignment="1">
      <alignment horizontal="center" vertical="center" wrapText="1"/>
    </xf>
    <xf numFmtId="0" fontId="101" fillId="0" borderId="24" xfId="0" applyFont="1" applyBorder="1" applyAlignment="1">
      <alignment horizontal="center" vertical="center" wrapText="1"/>
    </xf>
    <xf numFmtId="0" fontId="1" fillId="0" borderId="13" xfId="0" applyFont="1" applyBorder="1"/>
    <xf numFmtId="0" fontId="2" fillId="0" borderId="12" xfId="0" applyFont="1" applyBorder="1" applyAlignment="1">
      <alignment horizontal="center"/>
    </xf>
    <xf numFmtId="0" fontId="1" fillId="0" borderId="13" xfId="0" applyFont="1" applyBorder="1" applyAlignment="1">
      <alignment horizontal="center"/>
    </xf>
    <xf numFmtId="0" fontId="1" fillId="0" borderId="13" xfId="0" quotePrefix="1" applyFont="1" applyBorder="1" applyAlignment="1">
      <alignment horizontal="center"/>
    </xf>
    <xf numFmtId="0" fontId="1" fillId="0" borderId="12" xfId="0" applyFont="1" applyBorder="1"/>
    <xf numFmtId="0" fontId="1" fillId="0" borderId="12" xfId="0" applyFont="1" applyBorder="1" applyAlignment="1">
      <alignment vertical="center"/>
    </xf>
    <xf numFmtId="0" fontId="1" fillId="0" borderId="14" xfId="0" applyFont="1" applyBorder="1" applyAlignment="1">
      <alignment horizontal="center"/>
    </xf>
    <xf numFmtId="0" fontId="1" fillId="0" borderId="15" xfId="0" applyFont="1" applyBorder="1"/>
    <xf numFmtId="0" fontId="1" fillId="0" borderId="0" xfId="0" applyFont="1" applyBorder="1" applyAlignment="1">
      <alignment horizontal="center"/>
    </xf>
    <xf numFmtId="0" fontId="10" fillId="0" borderId="0" xfId="34" applyFont="1" applyBorder="1" applyAlignment="1" applyProtection="1">
      <alignment horizontal="left"/>
    </xf>
    <xf numFmtId="0" fontId="1" fillId="0" borderId="12" xfId="0" applyFont="1" applyBorder="1" applyAlignment="1">
      <alignment horizontal="left"/>
    </xf>
    <xf numFmtId="0" fontId="1" fillId="0" borderId="12" xfId="0" applyFont="1" applyBorder="1" applyAlignment="1">
      <alignment wrapText="1"/>
    </xf>
    <xf numFmtId="0" fontId="1" fillId="0" borderId="14" xfId="0" applyFont="1" applyBorder="1"/>
    <xf numFmtId="2" fontId="1" fillId="0" borderId="13" xfId="0" quotePrefix="1" applyNumberFormat="1" applyFont="1" applyBorder="1" applyAlignment="1">
      <alignment horizontal="center" vertical="center"/>
    </xf>
    <xf numFmtId="0" fontId="1" fillId="0" borderId="20" xfId="0" applyFont="1" applyBorder="1" applyAlignment="1">
      <alignment horizontal="left" vertical="center"/>
    </xf>
    <xf numFmtId="0" fontId="1" fillId="0" borderId="0" xfId="0" applyFont="1" applyAlignment="1">
      <alignment vertical="center"/>
    </xf>
    <xf numFmtId="0" fontId="3" fillId="0" borderId="1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0" xfId="0" applyFont="1" applyBorder="1" applyAlignment="1">
      <alignment horizontal="left" vertical="center"/>
    </xf>
    <xf numFmtId="2" fontId="3" fillId="0" borderId="13" xfId="0" applyNumberFormat="1" applyFont="1" applyBorder="1" applyAlignment="1">
      <alignment horizontal="center" vertical="center"/>
    </xf>
    <xf numFmtId="2" fontId="27" fillId="0" borderId="0" xfId="0" applyNumberFormat="1" applyFont="1" applyAlignment="1">
      <alignment horizontal="center"/>
    </xf>
    <xf numFmtId="2" fontId="1" fillId="0" borderId="14" xfId="0" quotePrefix="1" applyNumberFormat="1" applyFont="1" applyBorder="1" applyAlignment="1">
      <alignment horizontal="center" vertical="center"/>
    </xf>
    <xf numFmtId="2" fontId="3" fillId="0" borderId="0" xfId="0" applyNumberFormat="1" applyFont="1" applyAlignment="1">
      <alignment vertical="top"/>
    </xf>
    <xf numFmtId="0" fontId="1" fillId="0" borderId="0" xfId="0" applyFont="1" applyBorder="1" applyAlignment="1">
      <alignment horizontal="left" vertical="center"/>
    </xf>
    <xf numFmtId="0" fontId="3" fillId="0" borderId="17"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1" fontId="2" fillId="0" borderId="22" xfId="0" applyNumberFormat="1" applyFont="1" applyBorder="1" applyAlignment="1">
      <alignment horizontal="center" vertical="center"/>
    </xf>
    <xf numFmtId="0" fontId="2" fillId="0" borderId="15" xfId="0" applyFont="1" applyBorder="1" applyAlignment="1">
      <alignment horizontal="center" vertical="center"/>
    </xf>
    <xf numFmtId="2" fontId="27" fillId="0" borderId="12" xfId="0" applyNumberFormat="1" applyFont="1" applyBorder="1" applyAlignment="1">
      <alignment horizontal="center" vertical="center"/>
    </xf>
    <xf numFmtId="0" fontId="27" fillId="0" borderId="12" xfId="0" applyFont="1" applyBorder="1" applyAlignment="1">
      <alignment horizontal="center" vertical="center"/>
    </xf>
    <xf numFmtId="2" fontId="3" fillId="0" borderId="0" xfId="0" applyNumberFormat="1" applyFont="1" applyBorder="1" applyAlignment="1">
      <alignment horizontal="center" vertical="center"/>
    </xf>
    <xf numFmtId="0" fontId="2" fillId="0" borderId="12" xfId="0" applyFont="1" applyBorder="1" applyAlignment="1">
      <alignment horizontal="center" vertical="center"/>
    </xf>
    <xf numFmtId="0" fontId="3" fillId="0" borderId="13" xfId="0" applyFont="1" applyBorder="1" applyAlignment="1" applyProtection="1">
      <alignment horizontal="center" vertical="center"/>
      <protection locked="0"/>
    </xf>
    <xf numFmtId="0" fontId="3" fillId="0" borderId="20" xfId="38" applyFont="1" applyBorder="1" applyAlignment="1">
      <alignment horizontal="center" vertical="center"/>
    </xf>
    <xf numFmtId="0" fontId="3" fillId="0" borderId="23" xfId="38" applyFont="1" applyBorder="1" applyAlignment="1">
      <alignment horizontal="center" vertical="center"/>
    </xf>
    <xf numFmtId="0" fontId="3" fillId="0" borderId="14" xfId="38" applyFont="1" applyBorder="1" applyAlignment="1">
      <alignment horizontal="center" vertical="center"/>
    </xf>
    <xf numFmtId="0" fontId="3" fillId="0" borderId="15" xfId="38" applyFont="1" applyBorder="1" applyAlignment="1">
      <alignment horizontal="center" vertical="center"/>
    </xf>
    <xf numFmtId="165" fontId="27" fillId="0" borderId="12" xfId="0" applyNumberFormat="1" applyFont="1" applyBorder="1" applyAlignment="1">
      <alignment horizontal="center" vertical="center"/>
    </xf>
    <xf numFmtId="0" fontId="1" fillId="0" borderId="19"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19" xfId="0" quotePrefix="1" applyFont="1" applyBorder="1" applyAlignment="1">
      <alignment horizontal="center" vertical="center"/>
    </xf>
    <xf numFmtId="0" fontId="1" fillId="0" borderId="23" xfId="0" quotePrefix="1" applyFont="1" applyBorder="1" applyAlignment="1">
      <alignment horizontal="center" vertical="center"/>
    </xf>
    <xf numFmtId="0" fontId="1" fillId="0" borderId="13" xfId="0" applyFont="1" applyBorder="1" applyAlignment="1">
      <alignment vertical="center"/>
    </xf>
    <xf numFmtId="0" fontId="1" fillId="0" borderId="0" xfId="0" quotePrefix="1" applyFont="1" applyBorder="1" applyAlignment="1">
      <alignment horizontal="center" vertical="center" shrinkToFit="1"/>
    </xf>
    <xf numFmtId="0" fontId="1" fillId="0" borderId="12" xfId="0" applyFont="1" applyBorder="1" applyAlignment="1">
      <alignment horizontal="center" vertical="center"/>
    </xf>
    <xf numFmtId="0" fontId="1" fillId="0" borderId="20" xfId="0" applyFont="1" applyBorder="1" applyAlignment="1">
      <alignment vertical="center"/>
    </xf>
    <xf numFmtId="165" fontId="1" fillId="0" borderId="0" xfId="38" applyNumberFormat="1"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22" xfId="0" quotePrefix="1" applyFont="1" applyBorder="1" applyAlignment="1">
      <alignment horizontal="center" vertical="center"/>
    </xf>
    <xf numFmtId="0" fontId="3" fillId="0" borderId="24" xfId="0" quotePrefix="1" applyFont="1" applyBorder="1" applyAlignment="1">
      <alignment horizontal="center" vertical="center"/>
    </xf>
    <xf numFmtId="1" fontId="2" fillId="0" borderId="22" xfId="0" applyNumberFormat="1" applyFont="1" applyBorder="1" applyAlignment="1">
      <alignment horizontal="center" vertical="center"/>
    </xf>
    <xf numFmtId="2" fontId="3" fillId="0" borderId="12" xfId="0" applyNumberFormat="1" applyFont="1" applyBorder="1" applyAlignment="1">
      <alignment horizontal="center" vertical="center"/>
    </xf>
    <xf numFmtId="1" fontId="3" fillId="0" borderId="11" xfId="0" quotePrefix="1" applyNumberFormat="1" applyFont="1" applyBorder="1" applyAlignment="1">
      <alignment horizontal="center" vertical="center"/>
    </xf>
    <xf numFmtId="0" fontId="1" fillId="0" borderId="13" xfId="0" applyFont="1" applyFill="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19" xfId="0" quotePrefix="1" applyFont="1" applyBorder="1" applyAlignment="1">
      <alignment horizontal="center" vertical="center"/>
    </xf>
    <xf numFmtId="0" fontId="0" fillId="0" borderId="12" xfId="0" quotePrefix="1" applyBorder="1" applyAlignment="1">
      <alignment horizontal="center"/>
    </xf>
    <xf numFmtId="0" fontId="1" fillId="0" borderId="14" xfId="0" applyFont="1" applyBorder="1" applyAlignment="1">
      <alignment vertical="center"/>
    </xf>
    <xf numFmtId="0" fontId="0" fillId="0" borderId="16" xfId="0" applyBorder="1" applyAlignment="1" applyProtection="1">
      <alignment horizontal="center" vertical="center"/>
      <protection locked="0"/>
    </xf>
    <xf numFmtId="0" fontId="0" fillId="0" borderId="16" xfId="0" applyBorder="1" applyAlignment="1">
      <alignment horizontal="center" vertical="center"/>
    </xf>
    <xf numFmtId="0" fontId="0" fillId="0" borderId="14" xfId="0" applyBorder="1" applyAlignment="1" applyProtection="1">
      <alignment horizontal="center" vertical="center"/>
      <protection locked="0"/>
    </xf>
    <xf numFmtId="0" fontId="0" fillId="0" borderId="15" xfId="0" applyBorder="1" applyAlignment="1">
      <alignment horizontal="center" vertical="center"/>
    </xf>
    <xf numFmtId="0" fontId="0" fillId="0" borderId="12" xfId="0" applyBorder="1" applyAlignment="1">
      <alignment horizontal="center" vertical="center"/>
    </xf>
    <xf numFmtId="1" fontId="1" fillId="0" borderId="17" xfId="0" applyNumberFormat="1" applyFont="1" applyBorder="1" applyAlignment="1">
      <alignment horizontal="center" vertical="center"/>
    </xf>
    <xf numFmtId="0" fontId="1" fillId="0" borderId="20" xfId="0" applyFont="1" applyBorder="1" applyAlignment="1">
      <alignment horizontal="center" vertical="center"/>
    </xf>
    <xf numFmtId="1" fontId="1" fillId="0" borderId="13" xfId="0" applyNumberFormat="1" applyFont="1" applyBorder="1" applyAlignment="1">
      <alignment horizontal="center" vertical="center"/>
    </xf>
    <xf numFmtId="1" fontId="1" fillId="0" borderId="14" xfId="0" applyNumberFormat="1" applyFont="1" applyBorder="1" applyAlignment="1">
      <alignment horizontal="center" vertical="center"/>
    </xf>
    <xf numFmtId="0" fontId="3" fillId="0" borderId="12" xfId="0" applyFont="1" applyBorder="1" applyAlignment="1" applyProtection="1">
      <alignment horizontal="center" vertical="center"/>
      <protection locked="0"/>
    </xf>
    <xf numFmtId="0" fontId="1" fillId="0" borderId="19" xfId="0" applyFont="1" applyBorder="1" applyAlignment="1">
      <alignment horizontal="center" vertical="center"/>
    </xf>
    <xf numFmtId="0" fontId="86" fillId="0" borderId="0" xfId="0" applyFont="1" applyAlignment="1">
      <alignment horizontal="center"/>
    </xf>
    <xf numFmtId="0" fontId="85" fillId="0" borderId="0" xfId="0" applyFont="1" applyAlignment="1">
      <alignment horizontal="center"/>
    </xf>
    <xf numFmtId="0" fontId="12" fillId="0" borderId="0" xfId="0" applyFont="1" applyAlignment="1">
      <alignment horizontal="center"/>
    </xf>
    <xf numFmtId="0" fontId="87" fillId="0" borderId="0" xfId="0" applyFont="1" applyAlignment="1">
      <alignment horizontal="center"/>
    </xf>
    <xf numFmtId="0" fontId="17" fillId="0" borderId="0" xfId="0" applyFont="1" applyAlignment="1">
      <alignment horizontal="center"/>
    </xf>
    <xf numFmtId="0" fontId="18" fillId="0" borderId="0" xfId="0" applyFont="1" applyAlignment="1">
      <alignment horizontal="center"/>
    </xf>
    <xf numFmtId="0" fontId="16" fillId="0" borderId="0" xfId="0" applyFont="1" applyAlignment="1">
      <alignment horizontal="center"/>
    </xf>
    <xf numFmtId="0" fontId="26" fillId="0" borderId="0" xfId="0" applyFont="1" applyAlignment="1">
      <alignment horizontal="center" vertical="top"/>
    </xf>
    <xf numFmtId="0" fontId="13" fillId="0" borderId="0" xfId="0" applyFont="1" applyAlignment="1">
      <alignment horizontal="center"/>
    </xf>
    <xf numFmtId="0" fontId="20" fillId="0" borderId="0" xfId="0" applyFont="1" applyAlignment="1">
      <alignment horizontal="center"/>
    </xf>
    <xf numFmtId="0" fontId="64" fillId="0" borderId="0" xfId="0" applyFont="1" applyAlignment="1">
      <alignment horizontal="justify" vertical="justify" wrapText="1"/>
    </xf>
    <xf numFmtId="0" fontId="65" fillId="0" borderId="0" xfId="0" applyFont="1" applyAlignment="1">
      <alignment horizontal="justify" vertical="justify" wrapText="1"/>
    </xf>
    <xf numFmtId="0" fontId="0" fillId="0" borderId="0" xfId="0" applyAlignment="1">
      <alignment wrapText="1"/>
    </xf>
    <xf numFmtId="0" fontId="90" fillId="0" borderId="0" xfId="0" applyFont="1" applyAlignment="1">
      <alignment horizontal="left"/>
    </xf>
    <xf numFmtId="0" fontId="102" fillId="0" borderId="10" xfId="0" applyFont="1" applyBorder="1" applyAlignment="1">
      <alignment horizontal="center" vertical="top"/>
    </xf>
    <xf numFmtId="0" fontId="100" fillId="0" borderId="10" xfId="0" applyFont="1" applyBorder="1" applyAlignment="1">
      <alignment horizontal="center"/>
    </xf>
    <xf numFmtId="0" fontId="1" fillId="0" borderId="0" xfId="0" applyFont="1" applyAlignment="1">
      <alignment horizontal="center"/>
    </xf>
    <xf numFmtId="0" fontId="27" fillId="0" borderId="0" xfId="0" applyFont="1" applyAlignment="1">
      <alignment horizontal="center" vertical="center"/>
    </xf>
    <xf numFmtId="0" fontId="28" fillId="0" borderId="0" xfId="0" applyFont="1" applyAlignment="1">
      <alignment horizontal="center" vertical="center"/>
    </xf>
    <xf numFmtId="0" fontId="2" fillId="0" borderId="0" xfId="0" applyFont="1" applyBorder="1" applyAlignment="1">
      <alignment horizontal="center" vertical="center"/>
    </xf>
    <xf numFmtId="0" fontId="30" fillId="0" borderId="0" xfId="0" applyFont="1" applyAlignment="1">
      <alignment horizontal="right" vertical="center"/>
    </xf>
    <xf numFmtId="0" fontId="3" fillId="0" borderId="0" xfId="0" applyFont="1" applyBorder="1" applyAlignment="1">
      <alignment horizontal="center" vertical="center"/>
    </xf>
    <xf numFmtId="0" fontId="3" fillId="0" borderId="21" xfId="0" applyFont="1" applyBorder="1" applyAlignment="1">
      <alignment horizontal="center" vertical="center"/>
    </xf>
    <xf numFmtId="0" fontId="3" fillId="0" borderId="15"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0" fontId="32" fillId="0" borderId="0" xfId="0" applyFont="1" applyAlignment="1">
      <alignment horizontal="center" vertical="center"/>
    </xf>
    <xf numFmtId="0" fontId="3" fillId="0" borderId="0" xfId="0" applyFont="1" applyAlignment="1">
      <alignment horizontal="right"/>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2" xfId="0" applyFont="1" applyBorder="1" applyAlignment="1">
      <alignment horizontal="center" vertical="center"/>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xf>
    <xf numFmtId="0" fontId="3" fillId="0" borderId="14" xfId="0" applyFont="1" applyBorder="1" applyAlignment="1">
      <alignment horizontal="center" vertical="center"/>
    </xf>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3" fillId="0" borderId="12" xfId="0" applyFont="1" applyBorder="1" applyAlignment="1">
      <alignment horizontal="center" vertical="center"/>
    </xf>
    <xf numFmtId="0" fontId="3" fillId="0" borderId="22" xfId="0" quotePrefix="1" applyFont="1" applyBorder="1" applyAlignment="1">
      <alignment horizontal="center" vertical="center"/>
    </xf>
    <xf numFmtId="0" fontId="3" fillId="0" borderId="23" xfId="0" quotePrefix="1" applyFont="1" applyBorder="1" applyAlignment="1">
      <alignment horizontal="center" vertical="center"/>
    </xf>
    <xf numFmtId="0" fontId="3" fillId="0" borderId="18"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2" fillId="0" borderId="0" xfId="0" applyFont="1" applyAlignment="1">
      <alignment horizontal="center" wrapText="1"/>
    </xf>
    <xf numFmtId="0" fontId="3" fillId="0" borderId="13" xfId="0" applyFont="1" applyBorder="1" applyAlignment="1">
      <alignment horizontal="center" vertical="center"/>
    </xf>
    <xf numFmtId="0" fontId="3" fillId="0" borderId="22" xfId="0" applyFont="1" applyBorder="1" applyAlignment="1">
      <alignment horizontal="center"/>
    </xf>
    <xf numFmtId="0" fontId="3" fillId="0" borderId="24" xfId="0" applyFont="1" applyBorder="1" applyAlignment="1">
      <alignment horizontal="center"/>
    </xf>
    <xf numFmtId="0" fontId="3" fillId="0" borderId="1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2" fillId="0" borderId="0" xfId="0" applyFont="1" applyAlignment="1">
      <alignment horizontal="center"/>
    </xf>
    <xf numFmtId="0" fontId="5" fillId="0" borderId="10" xfId="0" applyFont="1" applyBorder="1" applyAlignment="1" applyProtection="1">
      <alignment horizontal="center" vertical="center"/>
    </xf>
    <xf numFmtId="0" fontId="3" fillId="0" borderId="10" xfId="0" quotePrefix="1" applyFont="1" applyBorder="1" applyAlignment="1">
      <alignment horizontal="right" vertical="center"/>
    </xf>
    <xf numFmtId="0" fontId="3" fillId="0" borderId="13" xfId="0" applyFont="1" applyBorder="1" applyAlignment="1">
      <alignment horizontal="center" vertical="center" wrapText="1"/>
    </xf>
    <xf numFmtId="0" fontId="3" fillId="0" borderId="10" xfId="0" applyFont="1" applyBorder="1" applyAlignment="1">
      <alignment horizontal="center" vertical="center"/>
    </xf>
    <xf numFmtId="0" fontId="3" fillId="0" borderId="22"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0" xfId="0" applyFont="1" applyBorder="1" applyAlignment="1">
      <alignment horizontal="left" vertical="center" wrapText="1"/>
    </xf>
    <xf numFmtId="0" fontId="3" fillId="0" borderId="13" xfId="0" applyFont="1" applyBorder="1" applyAlignment="1">
      <alignment horizontal="left" vertical="center" wrapText="1"/>
    </xf>
    <xf numFmtId="0" fontId="2" fillId="0" borderId="0" xfId="0" applyFont="1" applyBorder="1" applyAlignment="1">
      <alignment horizontal="center"/>
    </xf>
    <xf numFmtId="0" fontId="7" fillId="0" borderId="22" xfId="0" applyFont="1" applyBorder="1" applyAlignment="1">
      <alignment horizontal="center" vertical="center"/>
    </xf>
    <xf numFmtId="0" fontId="7" fillId="0" borderId="24" xfId="0" applyFont="1" applyBorder="1" applyAlignment="1">
      <alignment horizontal="center" vertical="center"/>
    </xf>
    <xf numFmtId="0" fontId="32" fillId="0" borderId="0" xfId="0" applyFont="1" applyBorder="1" applyAlignment="1">
      <alignment horizontal="center" vertical="center" wrapText="1"/>
    </xf>
    <xf numFmtId="0" fontId="32" fillId="0" borderId="0" xfId="0" applyFont="1" applyAlignment="1">
      <alignment horizontal="center" vertical="center" shrinkToFit="1"/>
    </xf>
    <xf numFmtId="0" fontId="3" fillId="0" borderId="19" xfId="0" applyFont="1" applyBorder="1" applyAlignment="1">
      <alignment horizontal="center" vertical="center"/>
    </xf>
    <xf numFmtId="0" fontId="2" fillId="0" borderId="0" xfId="0" applyFont="1" applyAlignment="1">
      <alignment horizontal="center" vertical="center"/>
    </xf>
    <xf numFmtId="0" fontId="94" fillId="0" borderId="20" xfId="0" applyFont="1" applyBorder="1" applyAlignment="1">
      <alignment horizontal="left" vertical="top" wrapText="1"/>
    </xf>
    <xf numFmtId="0" fontId="32" fillId="0" borderId="0" xfId="0" applyFont="1" applyBorder="1" applyAlignment="1">
      <alignment horizontal="center" vertical="center"/>
    </xf>
    <xf numFmtId="0" fontId="7" fillId="0" borderId="17"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32" fillId="0" borderId="0" xfId="0" applyFont="1" applyAlignment="1">
      <alignment horizontal="center" vertical="center" wrapText="1"/>
    </xf>
    <xf numFmtId="0" fontId="7" fillId="0" borderId="20" xfId="0" applyFont="1" applyBorder="1" applyAlignment="1">
      <alignment horizontal="right" vertical="center"/>
    </xf>
    <xf numFmtId="0" fontId="3" fillId="0" borderId="2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0" xfId="0" applyFont="1" applyBorder="1" applyAlignment="1">
      <alignment horizontal="right"/>
    </xf>
    <xf numFmtId="0" fontId="7" fillId="0" borderId="23" xfId="0" applyFont="1" applyBorder="1" applyAlignment="1">
      <alignment horizontal="center" vertical="center"/>
    </xf>
    <xf numFmtId="0" fontId="3" fillId="0" borderId="16" xfId="0" applyFont="1" applyBorder="1" applyAlignment="1">
      <alignment horizontal="center" vertical="center"/>
    </xf>
    <xf numFmtId="0" fontId="7" fillId="0" borderId="22" xfId="0" applyFont="1" applyBorder="1" applyAlignment="1">
      <alignment horizontal="center" vertical="center" wrapText="1" shrinkToFit="1"/>
    </xf>
    <xf numFmtId="0" fontId="7" fillId="0" borderId="24" xfId="0" applyFont="1" applyBorder="1" applyAlignment="1">
      <alignment horizontal="center" vertical="center" wrapText="1" shrinkToFit="1"/>
    </xf>
    <xf numFmtId="0" fontId="7" fillId="0" borderId="20" xfId="0" applyFont="1" applyBorder="1" applyAlignment="1">
      <alignment horizontal="center" vertical="center"/>
    </xf>
    <xf numFmtId="0" fontId="3" fillId="0" borderId="22" xfId="0" applyFont="1" applyBorder="1" applyAlignment="1">
      <alignment horizontal="center" vertical="center" wrapText="1" shrinkToFit="1"/>
    </xf>
    <xf numFmtId="0" fontId="3" fillId="0" borderId="24" xfId="0" applyFont="1" applyBorder="1" applyAlignment="1">
      <alignment horizontal="center" vertical="center" wrapText="1" shrinkToFit="1"/>
    </xf>
    <xf numFmtId="0" fontId="27" fillId="0" borderId="11" xfId="0" applyFont="1" applyBorder="1" applyAlignment="1">
      <alignment horizontal="center" vertical="center"/>
    </xf>
    <xf numFmtId="0" fontId="27" fillId="0" borderId="0" xfId="0" applyFont="1" applyBorder="1" applyAlignment="1">
      <alignment horizontal="center" vertical="center"/>
    </xf>
    <xf numFmtId="0" fontId="2" fillId="0" borderId="11" xfId="0" applyFont="1" applyBorder="1" applyAlignment="1">
      <alignment horizontal="left" vertical="center"/>
    </xf>
    <xf numFmtId="0" fontId="2" fillId="0" borderId="0" xfId="0" applyFont="1" applyBorder="1" applyAlignment="1">
      <alignment horizontal="left" vertical="center"/>
    </xf>
    <xf numFmtId="0" fontId="2" fillId="0" borderId="12" xfId="0" applyFont="1" applyBorder="1" applyAlignment="1">
      <alignment horizontal="left" vertical="center"/>
    </xf>
    <xf numFmtId="0" fontId="2" fillId="0" borderId="11" xfId="0" quotePrefix="1" applyFont="1" applyBorder="1" applyAlignment="1">
      <alignment horizontal="center" vertical="center"/>
    </xf>
    <xf numFmtId="0" fontId="7" fillId="0" borderId="0" xfId="0" applyFont="1" applyBorder="1" applyAlignment="1">
      <alignment horizontal="right" vertical="center"/>
    </xf>
    <xf numFmtId="0" fontId="2" fillId="0" borderId="11" xfId="0" applyFont="1" applyBorder="1" applyAlignment="1">
      <alignment horizontal="right" vertical="center"/>
    </xf>
    <xf numFmtId="0" fontId="2" fillId="0" borderId="0" xfId="0" applyFont="1" applyBorder="1" applyAlignment="1">
      <alignment horizontal="right" vertical="center"/>
    </xf>
    <xf numFmtId="0" fontId="3" fillId="0" borderId="24" xfId="0" quotePrefix="1" applyFont="1" applyBorder="1" applyAlignment="1">
      <alignment horizontal="center" vertical="center"/>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0" xfId="0" applyFont="1" applyBorder="1" applyAlignment="1">
      <alignment horizontal="center" vertical="center" wrapText="1"/>
    </xf>
    <xf numFmtId="0" fontId="27" fillId="0" borderId="16" xfId="0" applyFont="1" applyBorder="1" applyAlignment="1">
      <alignment horizontal="center" vertical="center"/>
    </xf>
    <xf numFmtId="0" fontId="27" fillId="0" borderId="10" xfId="0" applyFont="1" applyBorder="1" applyAlignment="1">
      <alignment horizontal="center" vertical="center"/>
    </xf>
    <xf numFmtId="1" fontId="27" fillId="0" borderId="11" xfId="0" applyNumberFormat="1" applyFont="1" applyBorder="1" applyAlignment="1" applyProtection="1">
      <alignment horizontal="center" vertical="center"/>
      <protection locked="0"/>
    </xf>
    <xf numFmtId="1" fontId="27" fillId="0" borderId="12" xfId="0" applyNumberFormat="1" applyFont="1" applyBorder="1" applyAlignment="1" applyProtection="1">
      <alignment horizontal="center" vertical="center"/>
      <protection locked="0"/>
    </xf>
    <xf numFmtId="1" fontId="2" fillId="0" borderId="11" xfId="0" applyNumberFormat="1" applyFont="1" applyBorder="1" applyAlignment="1" applyProtection="1">
      <alignment horizontal="center" vertical="center"/>
    </xf>
    <xf numFmtId="1" fontId="2" fillId="0" borderId="12" xfId="0" applyNumberFormat="1" applyFont="1" applyBorder="1" applyAlignment="1" applyProtection="1">
      <alignment horizontal="center" vertical="center"/>
    </xf>
    <xf numFmtId="1" fontId="2" fillId="0" borderId="22" xfId="0" applyNumberFormat="1" applyFont="1" applyBorder="1" applyAlignment="1">
      <alignment horizontal="center" vertical="center"/>
    </xf>
    <xf numFmtId="1" fontId="2" fillId="0" borderId="24" xfId="0" applyNumberFormat="1" applyFont="1" applyBorder="1" applyAlignment="1">
      <alignment horizontal="center" vertical="center"/>
    </xf>
    <xf numFmtId="3" fontId="3" fillId="0" borderId="22" xfId="0" applyNumberFormat="1" applyFont="1" applyBorder="1" applyAlignment="1">
      <alignment horizontal="center" vertical="center"/>
    </xf>
    <xf numFmtId="3" fontId="3" fillId="0" borderId="23" xfId="0" applyNumberFormat="1" applyFont="1" applyBorder="1" applyAlignment="1">
      <alignment horizontal="center" vertical="center"/>
    </xf>
    <xf numFmtId="3" fontId="3" fillId="0" borderId="24" xfId="0" applyNumberFormat="1" applyFont="1" applyBorder="1" applyAlignment="1">
      <alignment horizontal="center" vertical="center"/>
    </xf>
    <xf numFmtId="0" fontId="7" fillId="0" borderId="0" xfId="0" applyFont="1" applyAlignment="1" applyProtection="1">
      <alignment horizontal="left" vertical="top" wrapText="1"/>
      <protection locked="0"/>
    </xf>
    <xf numFmtId="0" fontId="3" fillId="0" borderId="17"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2" fontId="2" fillId="0" borderId="0" xfId="0"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2" fillId="0" borderId="0"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protection locked="0"/>
    </xf>
    <xf numFmtId="0" fontId="3" fillId="0" borderId="22" xfId="0" applyFont="1" applyBorder="1" applyAlignment="1" applyProtection="1">
      <alignment horizontal="center" vertical="center" shrinkToFit="1"/>
      <protection locked="0"/>
    </xf>
    <xf numFmtId="0" fontId="3" fillId="0" borderId="23" xfId="0" applyFont="1" applyBorder="1" applyAlignment="1" applyProtection="1">
      <alignment horizontal="center" vertical="center" shrinkToFit="1"/>
      <protection locked="0"/>
    </xf>
    <xf numFmtId="0" fontId="3" fillId="0" borderId="24" xfId="0" applyFont="1" applyBorder="1" applyAlignment="1" applyProtection="1">
      <alignment horizontal="center" vertical="center" shrinkToFit="1"/>
      <protection locked="0"/>
    </xf>
    <xf numFmtId="0" fontId="27" fillId="0" borderId="11"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3" xfId="0" applyFont="1" applyBorder="1" applyAlignment="1">
      <alignment horizontal="center" vertical="center"/>
    </xf>
    <xf numFmtId="0" fontId="7" fillId="0" borderId="0" xfId="0" applyFont="1" applyAlignment="1" applyProtection="1">
      <alignment vertical="center" wrapText="1"/>
      <protection locked="0"/>
    </xf>
    <xf numFmtId="0" fontId="2" fillId="0" borderId="20"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7" fillId="0" borderId="13"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7" fillId="0" borderId="0" xfId="0" applyFont="1" applyAlignment="1" applyProtection="1">
      <alignment vertical="top" wrapText="1"/>
      <protection locked="0"/>
    </xf>
    <xf numFmtId="0" fontId="7" fillId="0" borderId="0" xfId="0" applyFont="1" applyAlignment="1">
      <alignment wrapText="1"/>
    </xf>
    <xf numFmtId="0" fontId="2" fillId="0" borderId="0" xfId="0" applyFont="1" applyBorder="1" applyAlignment="1">
      <alignment horizontal="left" vertical="center" wrapText="1"/>
    </xf>
    <xf numFmtId="0" fontId="2" fillId="0" borderId="12" xfId="0" applyFont="1" applyBorder="1" applyAlignment="1">
      <alignment horizontal="left" vertical="center" wrapText="1"/>
    </xf>
    <xf numFmtId="0" fontId="2" fillId="0" borderId="0"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1" xfId="0" applyFont="1" applyBorder="1" applyAlignment="1">
      <alignment horizontal="left" vertical="center" wrapText="1"/>
    </xf>
    <xf numFmtId="0" fontId="3" fillId="0" borderId="12" xfId="0" applyFont="1" applyBorder="1" applyAlignment="1">
      <alignment horizontal="left" vertical="center" wrapText="1"/>
    </xf>
    <xf numFmtId="0" fontId="2" fillId="0" borderId="18"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16" xfId="0" applyFont="1" applyBorder="1" applyAlignment="1">
      <alignment horizontal="left" vertical="center"/>
    </xf>
    <xf numFmtId="0" fontId="2" fillId="0" borderId="10" xfId="0" applyFont="1" applyBorder="1" applyAlignment="1">
      <alignment horizontal="left" vertical="center"/>
    </xf>
    <xf numFmtId="0" fontId="2" fillId="0" borderId="15"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3" fillId="0" borderId="12" xfId="0" applyFont="1" applyBorder="1" applyAlignment="1">
      <alignment horizontal="left" vertical="center"/>
    </xf>
    <xf numFmtId="0" fontId="3" fillId="0" borderId="18"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0" fontId="3" fillId="0" borderId="12" xfId="0" applyFont="1" applyBorder="1" applyAlignment="1">
      <alignment horizontal="left" vertical="top" wrapText="1"/>
    </xf>
    <xf numFmtId="0" fontId="2" fillId="0" borderId="0" xfId="0" applyFont="1" applyBorder="1" applyAlignment="1">
      <alignment horizontal="left" vertical="top" wrapText="1"/>
    </xf>
    <xf numFmtId="0" fontId="2" fillId="0" borderId="12" xfId="0" applyFont="1" applyBorder="1" applyAlignment="1">
      <alignment horizontal="left" vertical="top" wrapText="1"/>
    </xf>
    <xf numFmtId="0" fontId="2" fillId="0" borderId="11" xfId="0" applyFont="1" applyBorder="1" applyAlignment="1">
      <alignment horizontal="left" wrapText="1"/>
    </xf>
    <xf numFmtId="0" fontId="3" fillId="0" borderId="0" xfId="0" applyFont="1" applyBorder="1" applyAlignment="1">
      <alignment horizontal="left" wrapText="1"/>
    </xf>
    <xf numFmtId="0" fontId="3" fillId="0" borderId="12" xfId="0" applyFont="1" applyBorder="1" applyAlignment="1">
      <alignment horizontal="left" wrapText="1"/>
    </xf>
    <xf numFmtId="0" fontId="32" fillId="0" borderId="0" xfId="0" applyFont="1" applyBorder="1" applyAlignment="1">
      <alignment horizontal="center" wrapText="1"/>
    </xf>
    <xf numFmtId="0" fontId="3" fillId="0" borderId="22" xfId="0" quotePrefix="1" applyFont="1" applyBorder="1" applyAlignment="1">
      <alignment horizontal="center"/>
    </xf>
    <xf numFmtId="0" fontId="3" fillId="0" borderId="23" xfId="0" quotePrefix="1" applyFont="1" applyBorder="1" applyAlignment="1">
      <alignment horizontal="center"/>
    </xf>
    <xf numFmtId="0" fontId="3" fillId="0" borderId="24" xfId="0" quotePrefix="1" applyFont="1" applyBorder="1" applyAlignment="1">
      <alignment horizontal="center"/>
    </xf>
    <xf numFmtId="0" fontId="3" fillId="0" borderId="23" xfId="0" applyFont="1" applyBorder="1" applyAlignment="1">
      <alignment horizontal="center"/>
    </xf>
    <xf numFmtId="0" fontId="2" fillId="0" borderId="16" xfId="0" applyFont="1" applyBorder="1" applyAlignment="1">
      <alignment horizontal="left"/>
    </xf>
    <xf numFmtId="0" fontId="2" fillId="0" borderId="10" xfId="0" applyFont="1" applyBorder="1" applyAlignment="1">
      <alignment horizontal="left"/>
    </xf>
    <xf numFmtId="0" fontId="2" fillId="0" borderId="15" xfId="0" applyFont="1" applyBorder="1" applyAlignment="1">
      <alignment horizontal="left"/>
    </xf>
    <xf numFmtId="0" fontId="2" fillId="0" borderId="18" xfId="0" applyFont="1" applyBorder="1" applyAlignment="1">
      <alignment horizontal="left"/>
    </xf>
    <xf numFmtId="0" fontId="2" fillId="0" borderId="20" xfId="0" applyFont="1" applyBorder="1" applyAlignment="1">
      <alignment horizontal="left"/>
    </xf>
    <xf numFmtId="0" fontId="2" fillId="0" borderId="21" xfId="0" applyFont="1" applyBorder="1" applyAlignment="1">
      <alignment horizontal="left"/>
    </xf>
    <xf numFmtId="0" fontId="3" fillId="0" borderId="12" xfId="0" applyFont="1" applyBorder="1" applyAlignment="1">
      <alignment vertical="top"/>
    </xf>
    <xf numFmtId="0" fontId="2" fillId="0" borderId="0" xfId="0" applyFont="1" applyBorder="1" applyAlignment="1">
      <alignment horizontal="justify" vertical="top" wrapText="1"/>
    </xf>
    <xf numFmtId="0" fontId="2" fillId="0" borderId="12" xfId="0" applyFont="1" applyBorder="1" applyAlignment="1">
      <alignment horizontal="justify" vertical="top" wrapText="1"/>
    </xf>
    <xf numFmtId="0" fontId="2" fillId="0" borderId="11" xfId="0" applyFont="1" applyBorder="1" applyAlignment="1">
      <alignment horizontal="left"/>
    </xf>
    <xf numFmtId="0" fontId="2" fillId="0" borderId="0" xfId="0" applyFont="1" applyBorder="1" applyAlignment="1">
      <alignment horizontal="left"/>
    </xf>
    <xf numFmtId="0" fontId="2" fillId="0" borderId="12" xfId="0" applyFont="1" applyBorder="1" applyAlignment="1">
      <alignment horizontal="left"/>
    </xf>
    <xf numFmtId="0" fontId="7" fillId="0" borderId="0" xfId="0" applyFont="1" applyAlignment="1" applyProtection="1">
      <alignment horizontal="left"/>
      <protection locked="0"/>
    </xf>
    <xf numFmtId="0" fontId="3" fillId="0" borderId="0" xfId="0" applyFont="1" applyBorder="1" applyAlignment="1">
      <alignment vertical="center"/>
    </xf>
    <xf numFmtId="0" fontId="3" fillId="0" borderId="12" xfId="0" applyFont="1" applyBorder="1" applyAlignment="1">
      <alignment vertical="center"/>
    </xf>
    <xf numFmtId="0" fontId="32" fillId="0" borderId="0" xfId="0" applyFont="1" applyBorder="1" applyAlignment="1">
      <alignment horizontal="center" vertical="top" wrapText="1"/>
    </xf>
    <xf numFmtId="0" fontId="2" fillId="0" borderId="23" xfId="0" applyFont="1" applyBorder="1" applyAlignment="1">
      <alignment horizontal="center"/>
    </xf>
    <xf numFmtId="0" fontId="2" fillId="0" borderId="24" xfId="0" applyFont="1" applyBorder="1" applyAlignment="1">
      <alignment horizontal="center"/>
    </xf>
    <xf numFmtId="0" fontId="3" fillId="0" borderId="10" xfId="0" applyFont="1" applyBorder="1" applyAlignment="1">
      <alignment horizontal="right" vertical="center"/>
    </xf>
    <xf numFmtId="0" fontId="1" fillId="0" borderId="23" xfId="0" applyFont="1" applyBorder="1" applyAlignment="1">
      <alignment horizontal="center" vertical="center"/>
    </xf>
    <xf numFmtId="0" fontId="7" fillId="0" borderId="20" xfId="0" applyFont="1" applyBorder="1" applyAlignment="1" applyProtection="1">
      <alignment vertical="top" wrapText="1"/>
      <protection locked="0"/>
    </xf>
    <xf numFmtId="0" fontId="2" fillId="0" borderId="10" xfId="0" applyFont="1" applyBorder="1" applyAlignment="1">
      <alignment horizontal="center" vertical="center"/>
    </xf>
    <xf numFmtId="0" fontId="2" fillId="0" borderId="15" xfId="0" applyFont="1" applyBorder="1" applyAlignment="1">
      <alignment horizontal="center" vertical="center"/>
    </xf>
    <xf numFmtId="0" fontId="35" fillId="0" borderId="0" xfId="0" applyFont="1" applyAlignment="1">
      <alignment horizontal="center" vertical="center" wrapText="1"/>
    </xf>
    <xf numFmtId="2" fontId="27" fillId="0" borderId="18" xfId="0" applyNumberFormat="1" applyFont="1" applyBorder="1" applyAlignment="1">
      <alignment horizontal="center" vertical="center"/>
    </xf>
    <xf numFmtId="2" fontId="27" fillId="0" borderId="21" xfId="0" applyNumberFormat="1" applyFont="1" applyBorder="1" applyAlignment="1">
      <alignment horizontal="center" vertical="center"/>
    </xf>
    <xf numFmtId="2" fontId="27" fillId="0" borderId="11" xfId="0" applyNumberFormat="1" applyFont="1" applyBorder="1" applyAlignment="1">
      <alignment horizontal="center" vertical="center"/>
    </xf>
    <xf numFmtId="2" fontId="27" fillId="0" borderId="12" xfId="0" applyNumberFormat="1" applyFont="1" applyBorder="1" applyAlignment="1">
      <alignment horizontal="center" vertical="center"/>
    </xf>
    <xf numFmtId="0" fontId="27" fillId="0" borderId="18" xfId="0" applyFont="1" applyBorder="1" applyAlignment="1">
      <alignment horizontal="center" vertical="center"/>
    </xf>
    <xf numFmtId="0" fontId="27" fillId="0" borderId="21" xfId="0" applyFont="1" applyBorder="1" applyAlignment="1">
      <alignment horizontal="center" vertical="center"/>
    </xf>
    <xf numFmtId="2" fontId="27" fillId="0" borderId="16" xfId="0" applyNumberFormat="1" applyFont="1" applyBorder="1" applyAlignment="1">
      <alignment horizontal="center" vertical="center"/>
    </xf>
    <xf numFmtId="2" fontId="27" fillId="0" borderId="15" xfId="0" applyNumberFormat="1" applyFont="1" applyBorder="1" applyAlignment="1">
      <alignment horizontal="center" vertical="center"/>
    </xf>
    <xf numFmtId="2" fontId="27" fillId="0" borderId="0" xfId="0" applyNumberFormat="1" applyFont="1" applyBorder="1" applyAlignment="1">
      <alignment horizontal="center" vertical="center"/>
    </xf>
    <xf numFmtId="0" fontId="7" fillId="0" borderId="0" xfId="0" applyFont="1" applyBorder="1" applyAlignment="1" applyProtection="1">
      <alignment horizontal="right"/>
      <protection locked="0"/>
    </xf>
    <xf numFmtId="0" fontId="32" fillId="0" borderId="0" xfId="0" applyFont="1" applyBorder="1" applyAlignment="1">
      <alignment horizontal="center" vertical="top"/>
    </xf>
    <xf numFmtId="0" fontId="3" fillId="0" borderId="22" xfId="0" quotePrefix="1" applyFont="1" applyBorder="1" applyAlignment="1">
      <alignment horizontal="center" vertical="center" wrapText="1"/>
    </xf>
    <xf numFmtId="0" fontId="3" fillId="0" borderId="23" xfId="0" quotePrefix="1" applyFont="1" applyBorder="1" applyAlignment="1">
      <alignment horizontal="center" vertical="center" wrapText="1"/>
    </xf>
    <xf numFmtId="0" fontId="3" fillId="0" borderId="24" xfId="0" quotePrefix="1" applyFont="1" applyBorder="1" applyAlignment="1">
      <alignment horizontal="center" vertical="center" wrapText="1"/>
    </xf>
    <xf numFmtId="14" fontId="1" fillId="0" borderId="11" xfId="0" applyNumberFormat="1" applyFont="1" applyBorder="1" applyAlignment="1">
      <alignment horizontal="center" vertical="center"/>
    </xf>
    <xf numFmtId="14" fontId="1" fillId="0" borderId="12" xfId="0" applyNumberFormat="1" applyFont="1" applyBorder="1" applyAlignment="1">
      <alignment horizontal="center" vertical="center"/>
    </xf>
    <xf numFmtId="14" fontId="1" fillId="0" borderId="0" xfId="0" applyNumberFormat="1" applyFont="1" applyBorder="1" applyAlignment="1">
      <alignment horizontal="center" vertical="center"/>
    </xf>
    <xf numFmtId="14" fontId="1" fillId="0" borderId="16" xfId="0" applyNumberFormat="1" applyFont="1" applyBorder="1" applyAlignment="1">
      <alignment horizontal="center" vertical="center"/>
    </xf>
    <xf numFmtId="14" fontId="1" fillId="0" borderId="10" xfId="0" applyNumberFormat="1" applyFont="1" applyBorder="1" applyAlignment="1">
      <alignment horizontal="center" vertical="center"/>
    </xf>
    <xf numFmtId="0" fontId="2" fillId="0" borderId="0" xfId="0" applyFont="1" applyAlignment="1">
      <alignment horizontal="center"/>
    </xf>
    <xf numFmtId="14" fontId="1" fillId="0" borderId="18" xfId="0" applyNumberFormat="1" applyFont="1" applyBorder="1" applyAlignment="1">
      <alignment horizontal="center" vertical="center"/>
    </xf>
    <xf numFmtId="14" fontId="1" fillId="0" borderId="21" xfId="0" applyNumberFormat="1" applyFont="1" applyBorder="1" applyAlignment="1">
      <alignment horizontal="center" vertical="center"/>
    </xf>
    <xf numFmtId="0" fontId="3" fillId="0" borderId="18" xfId="0" quotePrefix="1" applyFont="1" applyBorder="1" applyAlignment="1">
      <alignment horizontal="center" vertical="center"/>
    </xf>
    <xf numFmtId="0" fontId="3" fillId="0" borderId="21" xfId="0" quotePrefix="1" applyFont="1" applyBorder="1" applyAlignment="1">
      <alignment horizontal="center" vertical="center"/>
    </xf>
    <xf numFmtId="0" fontId="3" fillId="0" borderId="17" xfId="0" applyFont="1" applyBorder="1" applyAlignment="1">
      <alignment horizontal="center" vertical="top" wrapText="1"/>
    </xf>
    <xf numFmtId="0" fontId="3" fillId="0" borderId="14" xfId="0" applyFont="1" applyBorder="1" applyAlignment="1">
      <alignment horizontal="center" vertical="top" wrapText="1"/>
    </xf>
    <xf numFmtId="0" fontId="3" fillId="0" borderId="16" xfId="0" applyFont="1" applyFill="1" applyBorder="1" applyAlignment="1">
      <alignment horizontal="center" vertical="center"/>
    </xf>
    <xf numFmtId="0" fontId="3" fillId="0" borderId="15" xfId="0" applyFont="1" applyFill="1" applyBorder="1" applyAlignment="1">
      <alignment horizontal="center" vertical="center"/>
    </xf>
    <xf numFmtId="0" fontId="32" fillId="0" borderId="10" xfId="0" applyFont="1" applyBorder="1" applyAlignment="1">
      <alignment horizontal="center" vertical="center"/>
    </xf>
    <xf numFmtId="0" fontId="32" fillId="0" borderId="10" xfId="0" applyFont="1" applyBorder="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horizontal="left" vertical="center"/>
    </xf>
    <xf numFmtId="0" fontId="63" fillId="0" borderId="20" xfId="0" applyFont="1" applyBorder="1" applyAlignment="1">
      <alignment horizontal="left" vertical="top" wrapText="1"/>
    </xf>
    <xf numFmtId="0" fontId="63" fillId="0" borderId="20" xfId="0" applyFont="1" applyBorder="1" applyAlignment="1">
      <alignment horizontal="left" vertical="top"/>
    </xf>
    <xf numFmtId="0" fontId="63" fillId="0" borderId="0" xfId="0" applyFont="1" applyAlignment="1">
      <alignment horizontal="left" vertical="top"/>
    </xf>
    <xf numFmtId="0" fontId="3" fillId="0" borderId="0" xfId="0" applyFont="1" applyBorder="1" applyAlignment="1">
      <alignment horizontal="right"/>
    </xf>
    <xf numFmtId="0" fontId="3" fillId="0" borderId="16" xfId="0" quotePrefix="1" applyFont="1" applyBorder="1" applyAlignment="1">
      <alignment horizontal="center" vertical="center"/>
    </xf>
    <xf numFmtId="0" fontId="3" fillId="0" borderId="15" xfId="0" quotePrefix="1" applyFont="1" applyBorder="1" applyAlignment="1">
      <alignment horizontal="center" vertical="center"/>
    </xf>
    <xf numFmtId="0" fontId="27" fillId="0" borderId="12" xfId="0" applyFont="1" applyBorder="1" applyAlignment="1">
      <alignment horizontal="center" vertical="center"/>
    </xf>
    <xf numFmtId="164" fontId="27" fillId="0" borderId="11" xfId="0" applyNumberFormat="1" applyFont="1" applyBorder="1" applyAlignment="1">
      <alignment horizontal="center" vertical="center"/>
    </xf>
    <xf numFmtId="164" fontId="27" fillId="0" borderId="12" xfId="0" applyNumberFormat="1" applyFont="1" applyBorder="1" applyAlignment="1">
      <alignment horizontal="center" vertical="center"/>
    </xf>
    <xf numFmtId="0" fontId="3" fillId="0" borderId="22" xfId="0" quotePrefix="1" applyFont="1" applyFill="1" applyBorder="1" applyAlignment="1">
      <alignment horizontal="center" vertical="center"/>
    </xf>
    <xf numFmtId="0" fontId="3" fillId="0" borderId="24" xfId="0" quotePrefix="1" applyFont="1" applyFill="1" applyBorder="1" applyAlignment="1">
      <alignment horizontal="center" vertical="center"/>
    </xf>
    <xf numFmtId="1" fontId="27" fillId="0" borderId="18" xfId="0" applyNumberFormat="1" applyFont="1" applyBorder="1" applyAlignment="1">
      <alignment horizontal="center" vertical="center"/>
    </xf>
    <xf numFmtId="1" fontId="27" fillId="0" borderId="21" xfId="0" applyNumberFormat="1" applyFont="1" applyBorder="1" applyAlignment="1">
      <alignment horizontal="center" vertical="center"/>
    </xf>
    <xf numFmtId="0" fontId="27" fillId="0" borderId="15" xfId="0" applyFont="1" applyBorder="1" applyAlignment="1">
      <alignment horizontal="center" vertical="center"/>
    </xf>
    <xf numFmtId="1" fontId="27" fillId="0" borderId="11" xfId="0" applyNumberFormat="1" applyFont="1" applyBorder="1" applyAlignment="1">
      <alignment horizontal="center" vertical="center"/>
    </xf>
    <xf numFmtId="1" fontId="27" fillId="0" borderId="12" xfId="0" applyNumberFormat="1" applyFont="1" applyBorder="1" applyAlignment="1">
      <alignment horizontal="center" vertical="center"/>
    </xf>
    <xf numFmtId="164" fontId="3" fillId="0" borderId="11" xfId="0" applyNumberFormat="1" applyFont="1" applyBorder="1" applyAlignment="1">
      <alignment horizontal="center" vertical="center"/>
    </xf>
    <xf numFmtId="164" fontId="3" fillId="0" borderId="12" xfId="0" applyNumberFormat="1" applyFont="1" applyBorder="1" applyAlignment="1">
      <alignment horizontal="center" vertical="center"/>
    </xf>
    <xf numFmtId="0" fontId="3" fillId="0" borderId="10" xfId="0" quotePrefix="1" applyFont="1" applyBorder="1" applyAlignment="1">
      <alignment horizontal="center" vertical="center"/>
    </xf>
    <xf numFmtId="1" fontId="27" fillId="0" borderId="10" xfId="0" applyNumberFormat="1" applyFont="1" applyBorder="1" applyAlignment="1">
      <alignment horizontal="center" vertical="center"/>
    </xf>
    <xf numFmtId="164" fontId="3" fillId="0" borderId="16" xfId="0" applyNumberFormat="1" applyFont="1" applyBorder="1" applyAlignment="1">
      <alignment horizontal="center" vertical="center"/>
    </xf>
    <xf numFmtId="164" fontId="3" fillId="0" borderId="15" xfId="0" applyNumberFormat="1" applyFont="1" applyBorder="1" applyAlignment="1">
      <alignment horizontal="center" vertical="center"/>
    </xf>
    <xf numFmtId="164" fontId="27" fillId="0" borderId="16" xfId="0" applyNumberFormat="1" applyFont="1" applyBorder="1" applyAlignment="1">
      <alignment horizontal="center" vertical="center"/>
    </xf>
    <xf numFmtId="164" fontId="27" fillId="0" borderId="15" xfId="0" applyNumberFormat="1" applyFont="1" applyBorder="1" applyAlignment="1">
      <alignment horizontal="center" vertical="center"/>
    </xf>
    <xf numFmtId="0" fontId="32" fillId="0" borderId="10" xfId="0" applyFont="1" applyBorder="1" applyAlignment="1">
      <alignment horizontal="center" vertical="top" wrapText="1"/>
    </xf>
    <xf numFmtId="0" fontId="27" fillId="0" borderId="0" xfId="0" applyFont="1" applyBorder="1" applyAlignment="1">
      <alignment horizontal="center" vertical="top"/>
    </xf>
    <xf numFmtId="0" fontId="7" fillId="0" borderId="0" xfId="0" applyFont="1" applyFill="1" applyBorder="1" applyAlignment="1">
      <alignment horizontal="left" vertical="top"/>
    </xf>
    <xf numFmtId="0" fontId="7" fillId="0" borderId="0" xfId="0" applyFont="1" applyBorder="1" applyAlignment="1">
      <alignment horizontal="right" vertical="top"/>
    </xf>
    <xf numFmtId="0" fontId="7" fillId="0" borderId="20" xfId="0" applyFont="1" applyBorder="1" applyAlignment="1">
      <alignment horizontal="left" vertical="center" wrapText="1"/>
    </xf>
    <xf numFmtId="1" fontId="3" fillId="0" borderId="11" xfId="0" applyNumberFormat="1" applyFont="1" applyBorder="1" applyAlignment="1">
      <alignment horizontal="center" vertical="center"/>
    </xf>
    <xf numFmtId="1" fontId="3" fillId="0" borderId="12" xfId="0" applyNumberFormat="1" applyFont="1" applyBorder="1" applyAlignment="1">
      <alignment horizontal="center" vertical="center"/>
    </xf>
    <xf numFmtId="1" fontId="3" fillId="0" borderId="18" xfId="0" applyNumberFormat="1" applyFont="1" applyBorder="1" applyAlignment="1">
      <alignment horizontal="center" vertical="center"/>
    </xf>
    <xf numFmtId="1" fontId="3" fillId="0" borderId="21" xfId="0" applyNumberFormat="1" applyFont="1" applyBorder="1" applyAlignment="1">
      <alignment horizontal="center" vertical="center"/>
    </xf>
    <xf numFmtId="0" fontId="6" fillId="0" borderId="17" xfId="0" applyFont="1" applyBorder="1" applyAlignment="1">
      <alignment horizontal="center" vertical="center" wrapText="1"/>
    </xf>
    <xf numFmtId="0" fontId="6" fillId="0" borderId="14" xfId="0" applyFont="1" applyBorder="1" applyAlignment="1">
      <alignment horizontal="center" vertical="center" wrapText="1"/>
    </xf>
    <xf numFmtId="0" fontId="7" fillId="0" borderId="20" xfId="0" applyFont="1" applyBorder="1" applyAlignment="1">
      <alignment vertical="top" wrapText="1"/>
    </xf>
    <xf numFmtId="0" fontId="0" fillId="0" borderId="20" xfId="0" applyBorder="1" applyAlignment="1">
      <alignment vertical="top" wrapText="1"/>
    </xf>
    <xf numFmtId="0" fontId="0" fillId="0" borderId="0" xfId="0" applyAlignment="1">
      <alignment vertical="top" wrapText="1"/>
    </xf>
    <xf numFmtId="1" fontId="3" fillId="0" borderId="16" xfId="0" applyNumberFormat="1" applyFont="1" applyBorder="1" applyAlignment="1">
      <alignment horizontal="center" vertical="center"/>
    </xf>
    <xf numFmtId="1" fontId="3" fillId="0" borderId="15" xfId="0" applyNumberFormat="1" applyFont="1" applyBorder="1" applyAlignment="1">
      <alignment horizontal="center" vertical="center"/>
    </xf>
    <xf numFmtId="0" fontId="47" fillId="0" borderId="11" xfId="0" applyFont="1" applyBorder="1" applyAlignment="1">
      <alignment horizontal="center" vertical="center" shrinkToFit="1"/>
    </xf>
    <xf numFmtId="0" fontId="47" fillId="0" borderId="12" xfId="0" applyFont="1" applyBorder="1" applyAlignment="1">
      <alignment horizontal="center" vertical="center" shrinkToFit="1"/>
    </xf>
    <xf numFmtId="0" fontId="47" fillId="0" borderId="16" xfId="0" applyFont="1" applyBorder="1" applyAlignment="1">
      <alignment horizontal="center" vertical="center" shrinkToFit="1"/>
    </xf>
    <xf numFmtId="0" fontId="47" fillId="0" borderId="15" xfId="0" applyFont="1" applyBorder="1" applyAlignment="1">
      <alignment horizontal="center" vertical="center" shrinkToFit="1"/>
    </xf>
    <xf numFmtId="0" fontId="7" fillId="0" borderId="0" xfId="0" applyFont="1" applyBorder="1" applyAlignment="1">
      <alignment horizontal="left" vertical="top" wrapText="1"/>
    </xf>
    <xf numFmtId="0" fontId="50" fillId="0" borderId="23" xfId="0" applyFont="1" applyBorder="1" applyAlignment="1">
      <alignment horizontal="center" vertical="center"/>
    </xf>
    <xf numFmtId="0" fontId="50" fillId="0" borderId="24" xfId="0" applyFont="1" applyBorder="1" applyAlignment="1">
      <alignment horizontal="center" vertical="center"/>
    </xf>
    <xf numFmtId="0" fontId="42" fillId="0" borderId="0" xfId="0" applyFont="1" applyBorder="1" applyAlignment="1">
      <alignment horizontal="center" vertical="center"/>
    </xf>
    <xf numFmtId="0" fontId="48" fillId="0" borderId="0" xfId="0" applyFont="1" applyBorder="1" applyAlignment="1">
      <alignment horizontal="center"/>
    </xf>
    <xf numFmtId="0" fontId="47" fillId="0" borderId="18" xfId="0" applyFont="1" applyBorder="1" applyAlignment="1">
      <alignment horizontal="center" vertical="center" shrinkToFit="1"/>
    </xf>
    <xf numFmtId="0" fontId="47" fillId="0" borderId="21" xfId="0" applyFont="1" applyBorder="1" applyAlignment="1">
      <alignment horizontal="center" vertical="center" shrinkToFit="1"/>
    </xf>
    <xf numFmtId="0" fontId="43" fillId="0" borderId="0" xfId="0" applyFont="1" applyAlignment="1">
      <alignment horizontal="center" vertical="center" wrapText="1"/>
    </xf>
    <xf numFmtId="0" fontId="45" fillId="0" borderId="18" xfId="0" applyFont="1" applyBorder="1" applyAlignment="1">
      <alignment horizontal="center" vertical="center" wrapText="1"/>
    </xf>
    <xf numFmtId="0" fontId="45" fillId="0" borderId="21"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12" xfId="0" applyFont="1" applyBorder="1" applyAlignment="1">
      <alignment horizontal="center" vertical="center" wrapText="1"/>
    </xf>
    <xf numFmtId="0" fontId="46" fillId="0" borderId="22" xfId="0" quotePrefix="1" applyFont="1" applyBorder="1" applyAlignment="1">
      <alignment horizontal="center" vertical="center"/>
    </xf>
    <xf numFmtId="0" fontId="46" fillId="0" borderId="24" xfId="0" quotePrefix="1" applyFont="1" applyBorder="1" applyAlignment="1">
      <alignment horizontal="center" vertical="center"/>
    </xf>
    <xf numFmtId="0" fontId="45" fillId="0" borderId="19" xfId="0" applyFont="1" applyBorder="1" applyAlignment="1">
      <alignment horizontal="center" vertical="center"/>
    </xf>
    <xf numFmtId="0" fontId="45" fillId="0" borderId="19" xfId="0" applyFont="1" applyBorder="1" applyAlignment="1">
      <alignment horizontal="center" vertical="center" wrapText="1"/>
    </xf>
    <xf numFmtId="0" fontId="32" fillId="0" borderId="0" xfId="0" applyFont="1" applyAlignment="1">
      <alignment horizontal="center" vertical="top" wrapText="1"/>
    </xf>
    <xf numFmtId="0" fontId="3" fillId="0" borderId="18" xfId="0" applyFont="1" applyBorder="1" applyAlignment="1">
      <alignment horizontal="center" vertical="top" wrapText="1"/>
    </xf>
    <xf numFmtId="0" fontId="3" fillId="0" borderId="21" xfId="0" applyFont="1" applyBorder="1" applyAlignment="1">
      <alignment horizontal="center" vertical="top" wrapText="1"/>
    </xf>
    <xf numFmtId="0" fontId="32" fillId="0" borderId="0" xfId="0" applyFont="1" applyBorder="1" applyAlignment="1" applyProtection="1">
      <alignment horizontal="center" vertical="center" wrapText="1"/>
    </xf>
    <xf numFmtId="0" fontId="3" fillId="0" borderId="20" xfId="0" applyFont="1" applyBorder="1" applyAlignment="1">
      <alignment vertical="top" wrapText="1"/>
    </xf>
    <xf numFmtId="0" fontId="3" fillId="0" borderId="20" xfId="0" applyFont="1" applyBorder="1" applyAlignment="1">
      <alignment horizontal="left" wrapText="1"/>
    </xf>
    <xf numFmtId="0" fontId="0" fillId="0" borderId="20" xfId="0" applyBorder="1" applyAlignment="1">
      <alignment wrapText="1"/>
    </xf>
    <xf numFmtId="0" fontId="3" fillId="0" borderId="0" xfId="0" applyFont="1" applyAlignment="1">
      <alignment horizontal="left" wrapText="1"/>
    </xf>
    <xf numFmtId="0" fontId="0" fillId="0" borderId="11" xfId="0" applyBorder="1" applyAlignment="1">
      <alignment horizontal="left" wrapText="1"/>
    </xf>
    <xf numFmtId="0" fontId="0" fillId="0" borderId="0" xfId="0" applyBorder="1" applyAlignment="1">
      <alignment horizontal="left" wrapText="1"/>
    </xf>
    <xf numFmtId="0" fontId="6" fillId="0" borderId="20" xfId="0" applyFont="1" applyBorder="1" applyAlignment="1">
      <alignment horizontal="center" wrapText="1"/>
    </xf>
    <xf numFmtId="0" fontId="6" fillId="0" borderId="20" xfId="0" applyFont="1" applyBorder="1" applyAlignment="1">
      <alignment horizontal="center"/>
    </xf>
    <xf numFmtId="0" fontId="6" fillId="0" borderId="0" xfId="0" applyFont="1" applyBorder="1" applyAlignment="1">
      <alignment horizontal="center"/>
    </xf>
    <xf numFmtId="0" fontId="0" fillId="0" borderId="24" xfId="0" applyBorder="1" applyAlignment="1">
      <alignment horizontal="center" vertical="center" wrapText="1"/>
    </xf>
    <xf numFmtId="0" fontId="34" fillId="0" borderId="18" xfId="0" applyFont="1" applyBorder="1" applyAlignment="1">
      <alignment horizontal="center" vertical="top"/>
    </xf>
    <xf numFmtId="0" fontId="34" fillId="0" borderId="21" xfId="0" applyFont="1" applyBorder="1" applyAlignment="1">
      <alignment horizontal="center" vertical="top"/>
    </xf>
    <xf numFmtId="0" fontId="3" fillId="0" borderId="0" xfId="0" applyFont="1" applyAlignment="1">
      <alignment horizontal="center" vertical="top" wrapText="1"/>
    </xf>
    <xf numFmtId="0" fontId="0" fillId="0" borderId="0" xfId="0" applyAlignment="1">
      <alignment horizontal="center" vertical="top" wrapText="1"/>
    </xf>
    <xf numFmtId="0" fontId="2" fillId="0" borderId="11" xfId="0" applyFont="1" applyBorder="1" applyAlignment="1">
      <alignment horizontal="left" vertical="top" wrapText="1"/>
    </xf>
    <xf numFmtId="0" fontId="27" fillId="0" borderId="0" xfId="0" applyFont="1" applyAlignment="1">
      <alignment wrapText="1"/>
    </xf>
    <xf numFmtId="0" fontId="2" fillId="0" borderId="16" xfId="0" applyFont="1" applyBorder="1" applyAlignment="1">
      <alignment horizontal="left" vertical="center" wrapText="1"/>
    </xf>
    <xf numFmtId="0" fontId="3" fillId="0" borderId="10" xfId="0" applyFont="1" applyBorder="1" applyAlignment="1">
      <alignment horizontal="left" vertical="center"/>
    </xf>
    <xf numFmtId="0" fontId="3" fillId="0" borderId="15" xfId="0" applyFont="1" applyBorder="1" applyAlignment="1">
      <alignment horizontal="left" vertical="center"/>
    </xf>
    <xf numFmtId="0" fontId="34" fillId="0" borderId="11" xfId="0" applyFont="1" applyBorder="1" applyAlignment="1">
      <alignment horizontal="center" vertical="top"/>
    </xf>
    <xf numFmtId="0" fontId="34" fillId="0" borderId="12" xfId="0" applyFont="1" applyBorder="1" applyAlignment="1">
      <alignment horizontal="center" vertical="top"/>
    </xf>
    <xf numFmtId="0" fontId="53" fillId="0" borderId="0" xfId="0" applyFont="1" applyBorder="1" applyAlignment="1">
      <alignment horizontal="center" vertical="center"/>
    </xf>
    <xf numFmtId="0" fontId="54" fillId="0" borderId="0" xfId="0" applyFont="1" applyAlignment="1">
      <alignment horizontal="center" vertical="top" wrapText="1"/>
    </xf>
    <xf numFmtId="0" fontId="56" fillId="0" borderId="22" xfId="0" quotePrefix="1" applyFont="1" applyBorder="1" applyAlignment="1">
      <alignment horizontal="center" vertical="center"/>
    </xf>
    <xf numFmtId="0" fontId="56" fillId="0" borderId="24" xfId="0" quotePrefix="1" applyFont="1" applyBorder="1" applyAlignment="1">
      <alignment horizontal="center" vertical="center"/>
    </xf>
    <xf numFmtId="0" fontId="46" fillId="0" borderId="22" xfId="0" applyFont="1" applyBorder="1" applyAlignment="1">
      <alignment horizontal="center" vertical="center"/>
    </xf>
    <xf numFmtId="0" fontId="46" fillId="0" borderId="24" xfId="0" applyFont="1" applyBorder="1" applyAlignment="1">
      <alignment horizontal="center" vertical="center"/>
    </xf>
    <xf numFmtId="0" fontId="32" fillId="0" borderId="10" xfId="0" applyFont="1" applyBorder="1" applyAlignment="1" applyProtection="1">
      <alignment horizontal="center" vertical="center"/>
    </xf>
    <xf numFmtId="0" fontId="3" fillId="0" borderId="23" xfId="0" applyFont="1" applyBorder="1" applyAlignment="1" applyProtection="1">
      <alignment horizontal="center" vertical="center"/>
    </xf>
    <xf numFmtId="0" fontId="3" fillId="0" borderId="24" xfId="0" applyFont="1" applyBorder="1" applyAlignment="1" applyProtection="1">
      <alignment horizontal="center" vertical="center"/>
    </xf>
    <xf numFmtId="0" fontId="3" fillId="0" borderId="22" xfId="0" applyFont="1" applyBorder="1" applyAlignment="1" applyProtection="1">
      <alignment horizontal="center" vertical="center"/>
    </xf>
    <xf numFmtId="0" fontId="3" fillId="0" borderId="17"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2" fillId="0" borderId="0" xfId="0" applyFont="1" applyBorder="1" applyAlignment="1" applyProtection="1">
      <alignment horizontal="center"/>
    </xf>
    <xf numFmtId="0" fontId="7" fillId="0" borderId="20" xfId="0" applyFont="1" applyBorder="1" applyAlignment="1">
      <alignment horizontal="left" vertical="top" wrapText="1"/>
    </xf>
    <xf numFmtId="0" fontId="7" fillId="0" borderId="0" xfId="0" applyFont="1" applyAlignment="1">
      <alignment horizontal="left" vertical="top" wrapText="1"/>
    </xf>
    <xf numFmtId="0" fontId="33" fillId="0" borderId="17" xfId="0" applyFont="1" applyBorder="1" applyAlignment="1">
      <alignment horizontal="center" vertical="center" wrapText="1"/>
    </xf>
    <xf numFmtId="0" fontId="27" fillId="0" borderId="14" xfId="0" applyFont="1" applyBorder="1" applyAlignment="1">
      <alignment horizontal="center" vertical="center" wrapText="1"/>
    </xf>
    <xf numFmtId="0" fontId="3" fillId="0" borderId="13" xfId="0" applyFont="1" applyBorder="1" applyAlignment="1">
      <alignment horizontal="left" vertical="center"/>
    </xf>
    <xf numFmtId="0" fontId="0" fillId="0" borderId="23" xfId="0" applyBorder="1" applyAlignment="1">
      <alignment horizontal="center" vertical="center"/>
    </xf>
    <xf numFmtId="0" fontId="0" fillId="0" borderId="24" xfId="0" applyBorder="1" applyAlignment="1">
      <alignment horizontal="center" vertical="center"/>
    </xf>
    <xf numFmtId="0" fontId="2" fillId="0" borderId="10" xfId="0" applyFont="1" applyBorder="1" applyAlignment="1">
      <alignment horizontal="center"/>
    </xf>
    <xf numFmtId="0" fontId="97" fillId="0" borderId="18" xfId="0" applyFont="1" applyBorder="1" applyAlignment="1">
      <alignment horizontal="center" vertical="center" wrapText="1"/>
    </xf>
    <xf numFmtId="0" fontId="97" fillId="0" borderId="21" xfId="0" applyFont="1" applyBorder="1" applyAlignment="1">
      <alignment horizontal="center" vertical="center" wrapText="1"/>
    </xf>
    <xf numFmtId="0" fontId="1" fillId="0" borderId="22" xfId="0" quotePrefix="1" applyFont="1" applyBorder="1" applyAlignment="1">
      <alignment horizontal="center" vertical="center"/>
    </xf>
    <xf numFmtId="0" fontId="1" fillId="0" borderId="24" xfId="0" quotePrefix="1" applyFont="1" applyBorder="1" applyAlignment="1">
      <alignment horizontal="center" vertical="center"/>
    </xf>
    <xf numFmtId="0" fontId="97" fillId="0" borderId="18" xfId="0" applyFont="1" applyBorder="1" applyAlignment="1">
      <alignment horizontal="center" vertical="center"/>
    </xf>
    <xf numFmtId="0" fontId="97" fillId="0" borderId="21" xfId="0" applyFont="1" applyBorder="1" applyAlignment="1">
      <alignment horizontal="center" vertical="center"/>
    </xf>
    <xf numFmtId="0" fontId="3" fillId="0" borderId="10" xfId="0" applyFont="1" applyBorder="1" applyAlignment="1">
      <alignment horizontal="left" vertical="top"/>
    </xf>
    <xf numFmtId="0" fontId="97" fillId="0" borderId="11" xfId="0" applyFont="1" applyBorder="1" applyAlignment="1">
      <alignment horizontal="center" vertical="center"/>
    </xf>
    <xf numFmtId="0" fontId="97" fillId="0" borderId="12" xfId="0" applyFont="1" applyBorder="1" applyAlignment="1">
      <alignment horizontal="center" vertical="center"/>
    </xf>
    <xf numFmtId="0" fontId="97" fillId="0" borderId="16" xfId="0" quotePrefix="1" applyFont="1" applyBorder="1" applyAlignment="1">
      <alignment horizontal="center" vertical="center"/>
    </xf>
    <xf numFmtId="0" fontId="97" fillId="0" borderId="15" xfId="0" applyFont="1" applyBorder="1" applyAlignment="1">
      <alignment horizontal="center" vertical="center"/>
    </xf>
    <xf numFmtId="164" fontId="27" fillId="0" borderId="18" xfId="0" applyNumberFormat="1" applyFont="1" applyBorder="1" applyAlignment="1">
      <alignment horizontal="center" vertical="center"/>
    </xf>
    <xf numFmtId="164" fontId="27" fillId="0" borderId="20" xfId="0" applyNumberFormat="1" applyFont="1" applyBorder="1" applyAlignment="1">
      <alignment horizontal="center" vertical="center"/>
    </xf>
    <xf numFmtId="164" fontId="27" fillId="0" borderId="21" xfId="0" applyNumberFormat="1" applyFont="1" applyBorder="1" applyAlignment="1">
      <alignment horizontal="center" vertical="center"/>
    </xf>
    <xf numFmtId="164" fontId="27" fillId="0" borderId="0" xfId="0" applyNumberFormat="1" applyFont="1" applyBorder="1" applyAlignment="1">
      <alignment horizontal="center" vertical="center"/>
    </xf>
    <xf numFmtId="0" fontId="3" fillId="0" borderId="20" xfId="0" quotePrefix="1" applyFont="1" applyBorder="1" applyAlignment="1">
      <alignment horizontal="center" vertical="center"/>
    </xf>
    <xf numFmtId="0" fontId="3" fillId="0" borderId="11" xfId="0" quotePrefix="1" applyFont="1" applyBorder="1" applyAlignment="1">
      <alignment horizontal="center" vertical="center"/>
    </xf>
    <xf numFmtId="0" fontId="3" fillId="0" borderId="0" xfId="0" quotePrefix="1" applyFont="1" applyBorder="1" applyAlignment="1">
      <alignment horizontal="center" vertical="center"/>
    </xf>
    <xf numFmtId="0" fontId="3" fillId="0" borderId="12" xfId="0" quotePrefix="1" applyFont="1" applyBorder="1" applyAlignment="1">
      <alignment horizontal="center" vertical="center"/>
    </xf>
    <xf numFmtId="164" fontId="3" fillId="0" borderId="11" xfId="0" quotePrefix="1" applyNumberFormat="1" applyFont="1" applyBorder="1" applyAlignment="1">
      <alignment horizontal="center" vertical="center"/>
    </xf>
    <xf numFmtId="164" fontId="3" fillId="0" borderId="0" xfId="0" applyNumberFormat="1" applyFont="1" applyBorder="1" applyAlignment="1">
      <alignment horizontal="center" vertical="center"/>
    </xf>
    <xf numFmtId="164" fontId="3" fillId="0" borderId="10" xfId="0" applyNumberFormat="1" applyFont="1" applyBorder="1" applyAlignment="1">
      <alignment horizontal="center" vertical="center"/>
    </xf>
    <xf numFmtId="164" fontId="3" fillId="0" borderId="10" xfId="0" quotePrefix="1" applyNumberFormat="1" applyFont="1" applyBorder="1" applyAlignment="1">
      <alignment horizontal="center" vertical="center"/>
    </xf>
    <xf numFmtId="164" fontId="3" fillId="0" borderId="15" xfId="0" quotePrefix="1" applyNumberFormat="1" applyFont="1" applyBorder="1" applyAlignment="1">
      <alignment horizontal="center" vertical="center"/>
    </xf>
    <xf numFmtId="0" fontId="3" fillId="0" borderId="20" xfId="0" applyFont="1" applyBorder="1" applyAlignment="1">
      <alignment horizontal="center" vertical="top" wrapText="1"/>
    </xf>
    <xf numFmtId="0" fontId="7" fillId="0" borderId="0" xfId="0" applyFont="1" applyFill="1" applyBorder="1" applyAlignment="1">
      <alignment horizontal="left" vertical="top" wrapText="1"/>
    </xf>
    <xf numFmtId="0" fontId="32" fillId="0" borderId="0" xfId="0" applyFont="1" applyAlignment="1">
      <alignment horizontal="center" vertical="top"/>
    </xf>
    <xf numFmtId="0" fontId="3" fillId="0" borderId="19" xfId="0" quotePrefix="1" applyFont="1" applyBorder="1" applyAlignment="1">
      <alignment horizontal="center" vertical="center"/>
    </xf>
    <xf numFmtId="0" fontId="3" fillId="0" borderId="17" xfId="0" quotePrefix="1" applyFont="1" applyBorder="1" applyAlignment="1">
      <alignment horizontal="center" vertical="center"/>
    </xf>
    <xf numFmtId="2" fontId="27" fillId="0" borderId="10" xfId="0" applyNumberFormat="1" applyFont="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2" fontId="3" fillId="0" borderId="16" xfId="0" applyNumberFormat="1" applyFont="1" applyBorder="1" applyAlignment="1">
      <alignment horizontal="center" vertical="center"/>
    </xf>
    <xf numFmtId="2" fontId="3" fillId="0" borderId="10" xfId="0" applyNumberFormat="1" applyFont="1" applyBorder="1" applyAlignment="1">
      <alignment horizontal="center" vertical="center"/>
    </xf>
    <xf numFmtId="2" fontId="3" fillId="0" borderId="15" xfId="0" applyNumberFormat="1" applyFont="1" applyBorder="1" applyAlignment="1">
      <alignment horizontal="center" vertical="center"/>
    </xf>
    <xf numFmtId="2" fontId="3" fillId="0" borderId="11" xfId="0" applyNumberFormat="1" applyFont="1" applyBorder="1" applyAlignment="1">
      <alignment horizontal="center" vertical="center"/>
    </xf>
    <xf numFmtId="2" fontId="3" fillId="0" borderId="0" xfId="0" applyNumberFormat="1" applyFont="1" applyBorder="1" applyAlignment="1">
      <alignment horizontal="center" vertical="center"/>
    </xf>
    <xf numFmtId="2" fontId="3" fillId="0" borderId="12" xfId="0" applyNumberFormat="1" applyFont="1" applyBorder="1" applyAlignment="1">
      <alignment horizontal="center" vertical="center"/>
    </xf>
    <xf numFmtId="2" fontId="3" fillId="0" borderId="18" xfId="0" applyNumberFormat="1" applyFont="1" applyBorder="1" applyAlignment="1">
      <alignment horizontal="center" vertical="center"/>
    </xf>
    <xf numFmtId="2" fontId="3" fillId="0" borderId="20" xfId="0" applyNumberFormat="1" applyFont="1" applyBorder="1" applyAlignment="1">
      <alignment horizontal="center" vertical="center"/>
    </xf>
    <xf numFmtId="2" fontId="3" fillId="0" borderId="21" xfId="0" applyNumberFormat="1" applyFont="1" applyBorder="1" applyAlignment="1">
      <alignment horizontal="center" vertical="center"/>
    </xf>
    <xf numFmtId="2" fontId="27" fillId="0" borderId="20" xfId="0" applyNumberFormat="1" applyFont="1" applyBorder="1" applyAlignment="1">
      <alignment horizontal="center" vertical="center"/>
    </xf>
    <xf numFmtId="0" fontId="3" fillId="0" borderId="18"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2" fontId="3" fillId="0" borderId="13" xfId="0" applyNumberFormat="1" applyFont="1" applyBorder="1" applyAlignment="1">
      <alignment horizontal="center" vertical="center"/>
    </xf>
    <xf numFmtId="0" fontId="27" fillId="0" borderId="11" xfId="0" quotePrefix="1" applyFont="1" applyBorder="1" applyAlignment="1">
      <alignment horizontal="center" vertical="center"/>
    </xf>
    <xf numFmtId="0" fontId="27" fillId="0" borderId="12" xfId="0" quotePrefix="1" applyFont="1" applyBorder="1" applyAlignment="1">
      <alignment horizontal="center" vertical="center"/>
    </xf>
    <xf numFmtId="0" fontId="3" fillId="0" borderId="0" xfId="0" applyFont="1" applyFill="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top"/>
    </xf>
    <xf numFmtId="0" fontId="32" fillId="0" borderId="0" xfId="0" applyFont="1" applyBorder="1" applyAlignment="1">
      <alignment horizontal="center"/>
    </xf>
    <xf numFmtId="1" fontId="27" fillId="0" borderId="13" xfId="0" applyNumberFormat="1" applyFont="1" applyBorder="1" applyAlignment="1">
      <alignment horizontal="center" vertical="center"/>
    </xf>
    <xf numFmtId="0" fontId="3" fillId="0" borderId="17" xfId="0" applyFont="1" applyBorder="1" applyAlignment="1" applyProtection="1">
      <alignment vertical="center" wrapText="1"/>
      <protection locked="0"/>
    </xf>
    <xf numFmtId="0" fontId="3" fillId="0" borderId="14" xfId="0" applyFont="1" applyBorder="1" applyAlignment="1" applyProtection="1">
      <alignment vertical="center"/>
      <protection locked="0"/>
    </xf>
    <xf numFmtId="0" fontId="3" fillId="0" borderId="17" xfId="0" applyFont="1" applyBorder="1" applyAlignment="1" applyProtection="1">
      <alignment vertical="center"/>
      <protection locked="0"/>
    </xf>
    <xf numFmtId="0" fontId="3" fillId="0" borderId="14" xfId="0" applyFont="1" applyBorder="1" applyAlignment="1" applyProtection="1">
      <alignment vertical="center" wrapText="1"/>
      <protection locked="0"/>
    </xf>
    <xf numFmtId="0" fontId="7" fillId="0" borderId="20" xfId="0" applyFont="1" applyBorder="1" applyAlignment="1">
      <alignment horizontal="right"/>
    </xf>
    <xf numFmtId="0" fontId="3" fillId="0" borderId="13" xfId="0" applyFont="1" applyBorder="1" applyAlignment="1" applyProtection="1">
      <alignment vertical="center"/>
      <protection locked="0"/>
    </xf>
    <xf numFmtId="0" fontId="6" fillId="0" borderId="20"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0" xfId="0" applyFont="1" applyBorder="1" applyAlignment="1">
      <alignment vertical="top" wrapText="1"/>
    </xf>
    <xf numFmtId="0" fontId="3" fillId="0" borderId="0" xfId="0" applyFont="1" applyFill="1" applyBorder="1" applyAlignment="1">
      <alignment horizontal="center"/>
    </xf>
    <xf numFmtId="0" fontId="63" fillId="0" borderId="0" xfId="0" applyFont="1" applyAlignment="1">
      <alignment horizontal="left" vertical="top" wrapText="1"/>
    </xf>
    <xf numFmtId="0" fontId="63" fillId="0" borderId="0" xfId="0" applyFont="1" applyBorder="1" applyAlignment="1">
      <alignment vertical="top" wrapText="1"/>
    </xf>
    <xf numFmtId="0" fontId="63" fillId="0" borderId="0" xfId="0" applyFont="1" applyAlignment="1">
      <alignment vertical="top" wrapText="1"/>
    </xf>
    <xf numFmtId="0" fontId="2" fillId="0" borderId="0" xfId="38" applyFont="1" applyAlignment="1">
      <alignment horizontal="center" vertical="center"/>
    </xf>
    <xf numFmtId="0" fontId="32" fillId="0" borderId="10" xfId="38" applyFont="1" applyBorder="1" applyAlignment="1">
      <alignment horizontal="center" vertical="top"/>
    </xf>
    <xf numFmtId="0" fontId="3" fillId="0" borderId="22" xfId="38" applyFont="1" applyBorder="1" applyAlignment="1">
      <alignment horizontal="center" vertical="center"/>
    </xf>
    <xf numFmtId="0" fontId="3" fillId="0" borderId="20" xfId="38" applyFont="1" applyBorder="1" applyAlignment="1">
      <alignment horizontal="center" vertical="center"/>
    </xf>
    <xf numFmtId="0" fontId="3" fillId="0" borderId="23" xfId="38" applyFont="1" applyBorder="1" applyAlignment="1">
      <alignment horizontal="center" vertical="center"/>
    </xf>
    <xf numFmtId="0" fontId="3" fillId="0" borderId="24" xfId="38" applyFont="1" applyBorder="1" applyAlignment="1">
      <alignment horizontal="center" vertical="center"/>
    </xf>
    <xf numFmtId="0" fontId="3" fillId="0" borderId="17" xfId="38" applyFont="1" applyBorder="1" applyAlignment="1">
      <alignment horizontal="center" vertical="center" wrapText="1"/>
    </xf>
    <xf numFmtId="0" fontId="3" fillId="0" borderId="14" xfId="38" applyFont="1" applyBorder="1" applyAlignment="1">
      <alignment horizontal="center" vertical="center" wrapText="1"/>
    </xf>
    <xf numFmtId="0" fontId="3" fillId="0" borderId="14" xfId="38" applyFont="1" applyBorder="1" applyAlignment="1">
      <alignment horizontal="center" vertical="center"/>
    </xf>
    <xf numFmtId="0" fontId="2" fillId="0" borderId="10" xfId="38" applyFont="1" applyBorder="1" applyAlignment="1">
      <alignment horizontal="center" vertical="center"/>
    </xf>
    <xf numFmtId="0" fontId="3" fillId="0" borderId="13" xfId="38" applyFont="1" applyBorder="1" applyAlignment="1">
      <alignment horizontal="center" vertical="center" wrapText="1"/>
    </xf>
    <xf numFmtId="0" fontId="3" fillId="0" borderId="21" xfId="38" applyFont="1" applyBorder="1" applyAlignment="1">
      <alignment horizontal="center" vertical="center" wrapText="1"/>
    </xf>
    <xf numFmtId="0" fontId="3" fillId="0" borderId="15" xfId="38" applyFont="1" applyBorder="1" applyAlignment="1">
      <alignment horizontal="center" vertical="center"/>
    </xf>
    <xf numFmtId="0" fontId="7" fillId="0" borderId="20" xfId="0" applyFont="1" applyBorder="1" applyAlignment="1">
      <alignment horizontal="left" vertical="center"/>
    </xf>
    <xf numFmtId="0" fontId="0" fillId="0" borderId="14" xfId="0" applyBorder="1" applyAlignment="1">
      <alignment horizontal="center" vertical="center" wrapText="1"/>
    </xf>
    <xf numFmtId="0" fontId="22" fillId="0" borderId="0" xfId="0" applyFont="1" applyAlignment="1">
      <alignment horizontal="center"/>
    </xf>
    <xf numFmtId="0" fontId="0" fillId="0" borderId="0" xfId="0" applyAlignment="1">
      <alignment horizont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_Sheet1" xfId="39"/>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19">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worksheet" Target="worksheets/sheet89.xml"/><Relationship Id="rId97"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externalLink" Target="externalLinks/externalLink4.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externalLink" Target="externalLinks/externalLink2.xml"/><Relationship Id="rId98"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externalLink" Target="externalLinks/externalLink3.xml"/><Relationship Id="rId9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w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xdr:from>
      <xdr:col>2</xdr:col>
      <xdr:colOff>438150</xdr:colOff>
      <xdr:row>11</xdr:row>
      <xdr:rowOff>85725</xdr:rowOff>
    </xdr:from>
    <xdr:to>
      <xdr:col>6</xdr:col>
      <xdr:colOff>133350</xdr:colOff>
      <xdr:row>14</xdr:row>
      <xdr:rowOff>76200</xdr:rowOff>
    </xdr:to>
    <xdr:sp macro="" textlink="">
      <xdr:nvSpPr>
        <xdr:cNvPr id="1025" name="WordArt 1"/>
        <xdr:cNvSpPr>
          <a:spLocks noChangeArrowheads="1" noChangeShapeType="1" noTextEdit="1"/>
        </xdr:cNvSpPr>
      </xdr:nvSpPr>
      <xdr:spPr bwMode="auto">
        <a:xfrm>
          <a:off x="1657350" y="1866900"/>
          <a:ext cx="2133600" cy="476250"/>
        </a:xfrm>
        <a:prstGeom prst="rect">
          <a:avLst/>
        </a:prstGeom>
      </xdr:spPr>
      <xdr:txBody>
        <a:bodyPr wrap="none" fromWordArt="1">
          <a:prstTxWarp prst="textPlain">
            <a:avLst>
              <a:gd name="adj" fmla="val 50000"/>
            </a:avLst>
          </a:prstTxWarp>
        </a:bodyPr>
        <a:lstStyle/>
        <a:p>
          <a:pPr algn="ctr" rtl="0"/>
          <a:r>
            <a:rPr lang="en-US" sz="4400" kern="10" spc="0">
              <a:ln w="12700">
                <a:solidFill>
                  <a:srgbClr val="3333CC"/>
                </a:solidFill>
                <a:round/>
                <a:headEnd/>
                <a:tailEnd/>
              </a:ln>
              <a:solidFill>
                <a:srgbClr val="993300"/>
              </a:solidFill>
              <a:effectLst>
                <a:outerShdw dist="45791" dir="2021404" algn="ctr" rotWithShape="0">
                  <a:srgbClr val="9999FF"/>
                </a:outerShdw>
              </a:effectLst>
              <a:latin typeface="Arial Black"/>
            </a:rPr>
            <a:t>BANKURA</a:t>
          </a:r>
        </a:p>
      </xdr:txBody>
    </xdr:sp>
    <xdr:clientData/>
  </xdr:twoCellAnchor>
  <xdr:twoCellAnchor>
    <xdr:from>
      <xdr:col>0</xdr:col>
      <xdr:colOff>0</xdr:colOff>
      <xdr:row>7</xdr:row>
      <xdr:rowOff>0</xdr:rowOff>
    </xdr:from>
    <xdr:to>
      <xdr:col>8</xdr:col>
      <xdr:colOff>533400</xdr:colOff>
      <xdr:row>33</xdr:row>
      <xdr:rowOff>19050</xdr:rowOff>
    </xdr:to>
    <xdr:sp macro="" textlink="">
      <xdr:nvSpPr>
        <xdr:cNvPr id="1028" name="WordArt 4"/>
        <xdr:cNvSpPr>
          <a:spLocks noChangeArrowheads="1" noChangeShapeType="1"/>
        </xdr:cNvSpPr>
      </xdr:nvSpPr>
      <xdr:spPr bwMode="auto">
        <a:xfrm>
          <a:off x="0" y="1133475"/>
          <a:ext cx="5419725" cy="4229100"/>
        </a:xfrm>
        <a:prstGeom prst="rect">
          <a:avLst/>
        </a:prstGeom>
      </xdr:spPr>
      <xdr:txBody>
        <a:bodyPr wrap="none" fromWordArt="1">
          <a:prstTxWarp prst="textArchUp">
            <a:avLst>
              <a:gd name="adj" fmla="val 12401781"/>
            </a:avLst>
          </a:prstTxWarp>
        </a:bodyPr>
        <a:lstStyle/>
        <a:p>
          <a:pPr algn="ctr" rtl="0"/>
          <a:r>
            <a:rPr lang="en-US" sz="3600" kern="10" spc="0">
              <a:ln w="9525">
                <a:solidFill>
                  <a:srgbClr val="993366"/>
                </a:solidFill>
                <a:round/>
                <a:headEnd/>
                <a:tailEnd/>
              </a:ln>
              <a:solidFill>
                <a:srgbClr val="993366"/>
              </a:solidFill>
              <a:effectLst/>
              <a:latin typeface="Arial"/>
              <a:cs typeface="Arial"/>
            </a:rPr>
            <a:t>District Statistical Handbook</a:t>
          </a:r>
        </a:p>
      </xdr:txBody>
    </xdr:sp>
    <xdr:clientData/>
  </xdr:twoCellAnchor>
  <xdr:twoCellAnchor editAs="oneCell">
    <xdr:from>
      <xdr:col>0</xdr:col>
      <xdr:colOff>38100</xdr:colOff>
      <xdr:row>19</xdr:row>
      <xdr:rowOff>104775</xdr:rowOff>
    </xdr:from>
    <xdr:to>
      <xdr:col>8</xdr:col>
      <xdr:colOff>571500</xdr:colOff>
      <xdr:row>52</xdr:row>
      <xdr:rowOff>95250</xdr:rowOff>
    </xdr:to>
    <xdr:pic>
      <xdr:nvPicPr>
        <xdr:cNvPr id="1158" name="Picture 10" descr="bankura"/>
        <xdr:cNvPicPr>
          <a:picLocks noChangeAspect="1" noChangeArrowheads="1"/>
        </xdr:cNvPicPr>
      </xdr:nvPicPr>
      <xdr:blipFill>
        <a:blip xmlns:r="http://schemas.openxmlformats.org/officeDocument/2006/relationships" r:embed="rId1"/>
        <a:srcRect/>
        <a:stretch>
          <a:fillRect/>
        </a:stretch>
      </xdr:blipFill>
      <xdr:spPr bwMode="auto">
        <a:xfrm>
          <a:off x="38100" y="3181350"/>
          <a:ext cx="5419725" cy="5524500"/>
        </a:xfrm>
        <a:prstGeom prst="rect">
          <a:avLst/>
        </a:prstGeom>
        <a:noFill/>
        <a:ln w="9525">
          <a:noFill/>
          <a:miter lim="800000"/>
          <a:headEnd/>
          <a:tailEnd/>
        </a:ln>
      </xdr:spPr>
    </xdr:pic>
    <xdr:clientData/>
  </xdr:twoCellAnchor>
  <xdr:twoCellAnchor>
    <xdr:from>
      <xdr:col>2</xdr:col>
      <xdr:colOff>533400</xdr:colOff>
      <xdr:row>15</xdr:row>
      <xdr:rowOff>133350</xdr:rowOff>
    </xdr:from>
    <xdr:to>
      <xdr:col>6</xdr:col>
      <xdr:colOff>47625</xdr:colOff>
      <xdr:row>18</xdr:row>
      <xdr:rowOff>47625</xdr:rowOff>
    </xdr:to>
    <xdr:sp macro="" textlink="">
      <xdr:nvSpPr>
        <xdr:cNvPr id="1159" name="WordArt 11" descr="White marble"/>
        <xdr:cNvSpPr>
          <a:spLocks noChangeArrowheads="1" noChangeShapeType="1" noTextEdit="1"/>
        </xdr:cNvSpPr>
      </xdr:nvSpPr>
      <xdr:spPr bwMode="auto">
        <a:xfrm>
          <a:off x="1752600" y="2562225"/>
          <a:ext cx="1952625" cy="400050"/>
        </a:xfrm>
        <a:prstGeom prst="rect">
          <a:avLst/>
        </a:prstGeom>
      </xdr:spPr>
      <xdr:txBody>
        <a:bodyPr vertOverflow="clip" wrap="none" lIns="91440" tIns="45720" rIns="91440" bIns="45720" fromWordArt="1" anchor="t" upright="1">
          <a:prstTxWarp prst="textPlain">
            <a:avLst>
              <a:gd name="adj" fmla="val 50000"/>
            </a:avLst>
          </a:prstTxWarp>
          <a:scene3d>
            <a:camera prst="legacyObliqueRight"/>
            <a:lightRig rig="legacyHarsh3" dir="t"/>
          </a:scene3d>
          <a:sp3d extrusionH="100000" prstMaterial="legacyMatte">
            <a:extrusionClr>
              <a:srgbClr val="663300"/>
            </a:extrusionClr>
          </a:sp3d>
        </a:bodyPr>
        <a:lstStyle/>
        <a:p>
          <a:pPr algn="ctr" rtl="0"/>
          <a:r>
            <a:rPr lang="en-US" sz="2800" u="none" strike="noStrike" kern="10" cap="small" spc="0" baseline="0">
              <a:ln w="9525">
                <a:round/>
                <a:headEnd/>
                <a:tailEnd/>
              </a:ln>
              <a:blipFill dpi="0" rotWithShape="0">
                <a:blip xmlns:r="http://schemas.openxmlformats.org/officeDocument/2006/relationships" r:embed="rId2"/>
                <a:srcRect/>
                <a:tile tx="0" ty="0" sx="100000" sy="100000" flip="none" algn="tl"/>
              </a:blipFill>
              <a:latin typeface="Garamond"/>
            </a:rPr>
            <a:t>2014</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619125</xdr:colOff>
      <xdr:row>5</xdr:row>
      <xdr:rowOff>28575</xdr:rowOff>
    </xdr:from>
    <xdr:to>
      <xdr:col>1</xdr:col>
      <xdr:colOff>685800</xdr:colOff>
      <xdr:row>6</xdr:row>
      <xdr:rowOff>152400</xdr:rowOff>
    </xdr:to>
    <xdr:sp macro="" textlink="">
      <xdr:nvSpPr>
        <xdr:cNvPr id="22622" name="AutoShape 1"/>
        <xdr:cNvSpPr>
          <a:spLocks/>
        </xdr:cNvSpPr>
      </xdr:nvSpPr>
      <xdr:spPr bwMode="auto">
        <a:xfrm>
          <a:off x="857250" y="1628775"/>
          <a:ext cx="57150" cy="371475"/>
        </a:xfrm>
        <a:prstGeom prst="rightBrace">
          <a:avLst>
            <a:gd name="adj1" fmla="val 54167"/>
            <a:gd name="adj2" fmla="val 50000"/>
          </a:avLst>
        </a:prstGeom>
        <a:noFill/>
        <a:ln w="9525">
          <a:solidFill>
            <a:srgbClr val="000000"/>
          </a:solidFill>
          <a:round/>
          <a:headEnd/>
          <a:tailEnd/>
        </a:ln>
      </xdr:spPr>
    </xdr:sp>
    <xdr:clientData/>
  </xdr:twoCellAnchor>
  <xdr:twoCellAnchor>
    <xdr:from>
      <xdr:col>1</xdr:col>
      <xdr:colOff>609600</xdr:colOff>
      <xdr:row>21</xdr:row>
      <xdr:rowOff>28575</xdr:rowOff>
    </xdr:from>
    <xdr:to>
      <xdr:col>1</xdr:col>
      <xdr:colOff>676275</xdr:colOff>
      <xdr:row>22</xdr:row>
      <xdr:rowOff>152400</xdr:rowOff>
    </xdr:to>
    <xdr:sp macro="" textlink="">
      <xdr:nvSpPr>
        <xdr:cNvPr id="22623" name="AutoShape 2"/>
        <xdr:cNvSpPr>
          <a:spLocks/>
        </xdr:cNvSpPr>
      </xdr:nvSpPr>
      <xdr:spPr bwMode="auto">
        <a:xfrm>
          <a:off x="847725" y="5591175"/>
          <a:ext cx="66675" cy="371475"/>
        </a:xfrm>
        <a:prstGeom prst="rightBrace">
          <a:avLst>
            <a:gd name="adj1" fmla="val 46429"/>
            <a:gd name="adj2" fmla="val 50000"/>
          </a:avLst>
        </a:prstGeom>
        <a:noFill/>
        <a:ln w="9525">
          <a:solidFill>
            <a:srgbClr val="000000"/>
          </a:solidFill>
          <a:round/>
          <a:headEnd/>
          <a:tailEnd/>
        </a:ln>
      </xdr:spPr>
    </xdr:sp>
    <xdr:clientData/>
  </xdr:twoCellAnchor>
  <xdr:twoCellAnchor>
    <xdr:from>
      <xdr:col>1</xdr:col>
      <xdr:colOff>542925</xdr:colOff>
      <xdr:row>34</xdr:row>
      <xdr:rowOff>28575</xdr:rowOff>
    </xdr:from>
    <xdr:to>
      <xdr:col>1</xdr:col>
      <xdr:colOff>609600</xdr:colOff>
      <xdr:row>35</xdr:row>
      <xdr:rowOff>161925</xdr:rowOff>
    </xdr:to>
    <xdr:sp macro="" textlink="">
      <xdr:nvSpPr>
        <xdr:cNvPr id="22624" name="AutoShape 3"/>
        <xdr:cNvSpPr>
          <a:spLocks/>
        </xdr:cNvSpPr>
      </xdr:nvSpPr>
      <xdr:spPr bwMode="auto">
        <a:xfrm>
          <a:off x="781050" y="9163050"/>
          <a:ext cx="66675" cy="381000"/>
        </a:xfrm>
        <a:prstGeom prst="rightBrace">
          <a:avLst>
            <a:gd name="adj1" fmla="val 47619"/>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733425</xdr:colOff>
      <xdr:row>8</xdr:row>
      <xdr:rowOff>19050</xdr:rowOff>
    </xdr:from>
    <xdr:to>
      <xdr:col>1</xdr:col>
      <xdr:colOff>800100</xdr:colOff>
      <xdr:row>10</xdr:row>
      <xdr:rowOff>152400</xdr:rowOff>
    </xdr:to>
    <xdr:sp macro="" textlink="">
      <xdr:nvSpPr>
        <xdr:cNvPr id="7330" name="AutoShape 1"/>
        <xdr:cNvSpPr>
          <a:spLocks/>
        </xdr:cNvSpPr>
      </xdr:nvSpPr>
      <xdr:spPr bwMode="auto">
        <a:xfrm>
          <a:off x="1924050" y="1562100"/>
          <a:ext cx="66675" cy="476250"/>
        </a:xfrm>
        <a:prstGeom prst="leftBrace">
          <a:avLst>
            <a:gd name="adj1" fmla="val 59524"/>
            <a:gd name="adj2" fmla="val 50000"/>
          </a:avLst>
        </a:prstGeom>
        <a:noFill/>
        <a:ln w="9525">
          <a:solidFill>
            <a:srgbClr val="993366"/>
          </a:solidFill>
          <a:round/>
          <a:headEnd/>
          <a:tailEnd/>
        </a:ln>
      </xdr:spPr>
    </xdr:sp>
    <xdr:clientData/>
  </xdr:twoCellAnchor>
  <xdr:twoCellAnchor>
    <xdr:from>
      <xdr:col>1</xdr:col>
      <xdr:colOff>733425</xdr:colOff>
      <xdr:row>15</xdr:row>
      <xdr:rowOff>28575</xdr:rowOff>
    </xdr:from>
    <xdr:to>
      <xdr:col>1</xdr:col>
      <xdr:colOff>809625</xdr:colOff>
      <xdr:row>16</xdr:row>
      <xdr:rowOff>133350</xdr:rowOff>
    </xdr:to>
    <xdr:sp macro="" textlink="">
      <xdr:nvSpPr>
        <xdr:cNvPr id="7333" name="AutoShape 5"/>
        <xdr:cNvSpPr>
          <a:spLocks/>
        </xdr:cNvSpPr>
      </xdr:nvSpPr>
      <xdr:spPr bwMode="auto">
        <a:xfrm>
          <a:off x="1924050" y="2771775"/>
          <a:ext cx="76200" cy="276225"/>
        </a:xfrm>
        <a:prstGeom prst="rightBrace">
          <a:avLst>
            <a:gd name="adj1" fmla="val 30208"/>
            <a:gd name="adj2" fmla="val 50000"/>
          </a:avLst>
        </a:prstGeom>
        <a:noFill/>
        <a:ln w="9525">
          <a:solidFill>
            <a:srgbClr val="0000FF"/>
          </a:solidFill>
          <a:round/>
          <a:headEnd/>
          <a:tailEnd/>
        </a:ln>
      </xdr:spPr>
    </xdr:sp>
    <xdr:clientData/>
  </xdr:twoCellAnchor>
  <xdr:twoCellAnchor>
    <xdr:from>
      <xdr:col>1</xdr:col>
      <xdr:colOff>723900</xdr:colOff>
      <xdr:row>22</xdr:row>
      <xdr:rowOff>19050</xdr:rowOff>
    </xdr:from>
    <xdr:to>
      <xdr:col>1</xdr:col>
      <xdr:colOff>809625</xdr:colOff>
      <xdr:row>23</xdr:row>
      <xdr:rowOff>123825</xdr:rowOff>
    </xdr:to>
    <xdr:sp macro="" textlink="">
      <xdr:nvSpPr>
        <xdr:cNvPr id="7334" name="AutoShape 6"/>
        <xdr:cNvSpPr>
          <a:spLocks/>
        </xdr:cNvSpPr>
      </xdr:nvSpPr>
      <xdr:spPr bwMode="auto">
        <a:xfrm>
          <a:off x="1914525" y="3962400"/>
          <a:ext cx="85725" cy="276225"/>
        </a:xfrm>
        <a:prstGeom prst="rightBrace">
          <a:avLst>
            <a:gd name="adj1" fmla="val 26852"/>
            <a:gd name="adj2" fmla="val 50000"/>
          </a:avLst>
        </a:prstGeom>
        <a:noFill/>
        <a:ln w="9525">
          <a:solidFill>
            <a:srgbClr val="0000FF"/>
          </a:solidFill>
          <a:round/>
          <a:headEnd/>
          <a:tailEnd/>
        </a:ln>
      </xdr:spPr>
    </xdr:sp>
    <xdr:clientData/>
  </xdr:twoCellAnchor>
  <xdr:twoCellAnchor>
    <xdr:from>
      <xdr:col>1</xdr:col>
      <xdr:colOff>723900</xdr:colOff>
      <xdr:row>29</xdr:row>
      <xdr:rowOff>0</xdr:rowOff>
    </xdr:from>
    <xdr:to>
      <xdr:col>1</xdr:col>
      <xdr:colOff>769619</xdr:colOff>
      <xdr:row>30</xdr:row>
      <xdr:rowOff>152400</xdr:rowOff>
    </xdr:to>
    <xdr:sp macro="" textlink="">
      <xdr:nvSpPr>
        <xdr:cNvPr id="6" name="AutoShape 1"/>
        <xdr:cNvSpPr>
          <a:spLocks/>
        </xdr:cNvSpPr>
      </xdr:nvSpPr>
      <xdr:spPr bwMode="auto">
        <a:xfrm>
          <a:off x="1914525" y="5143500"/>
          <a:ext cx="45719" cy="323850"/>
        </a:xfrm>
        <a:prstGeom prst="leftBrace">
          <a:avLst>
            <a:gd name="adj1" fmla="val 59524"/>
            <a:gd name="adj2" fmla="val 50000"/>
          </a:avLst>
        </a:prstGeom>
        <a:noFill/>
        <a:ln w="9525">
          <a:solidFill>
            <a:srgbClr val="993366"/>
          </a:solidFill>
          <a:round/>
          <a:headEnd/>
          <a:tailEnd/>
        </a:ln>
      </xdr:spPr>
    </xdr:sp>
    <xdr:clientData/>
  </xdr:twoCellAnchor>
  <xdr:twoCellAnchor>
    <xdr:from>
      <xdr:col>1</xdr:col>
      <xdr:colOff>762000</xdr:colOff>
      <xdr:row>33</xdr:row>
      <xdr:rowOff>28575</xdr:rowOff>
    </xdr:from>
    <xdr:to>
      <xdr:col>1</xdr:col>
      <xdr:colOff>807719</xdr:colOff>
      <xdr:row>35</xdr:row>
      <xdr:rowOff>9525</xdr:rowOff>
    </xdr:to>
    <xdr:sp macro="" textlink="">
      <xdr:nvSpPr>
        <xdr:cNvPr id="10" name="AutoShape 1"/>
        <xdr:cNvSpPr>
          <a:spLocks/>
        </xdr:cNvSpPr>
      </xdr:nvSpPr>
      <xdr:spPr bwMode="auto">
        <a:xfrm>
          <a:off x="1952625" y="5857875"/>
          <a:ext cx="45719" cy="323850"/>
        </a:xfrm>
        <a:prstGeom prst="leftBrace">
          <a:avLst>
            <a:gd name="adj1" fmla="val 59524"/>
            <a:gd name="adj2" fmla="val 50000"/>
          </a:avLst>
        </a:prstGeom>
        <a:noFill/>
        <a:ln w="9525">
          <a:solidFill>
            <a:srgbClr val="993366"/>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1171575</xdr:colOff>
      <xdr:row>35</xdr:row>
      <xdr:rowOff>9525</xdr:rowOff>
    </xdr:from>
    <xdr:to>
      <xdr:col>0</xdr:col>
      <xdr:colOff>1257300</xdr:colOff>
      <xdr:row>37</xdr:row>
      <xdr:rowOff>0</xdr:rowOff>
    </xdr:to>
    <xdr:sp macro="" textlink="">
      <xdr:nvSpPr>
        <xdr:cNvPr id="9279" name="AutoShape 1"/>
        <xdr:cNvSpPr>
          <a:spLocks/>
        </xdr:cNvSpPr>
      </xdr:nvSpPr>
      <xdr:spPr bwMode="auto">
        <a:xfrm>
          <a:off x="1171575" y="7972425"/>
          <a:ext cx="85725" cy="447675"/>
        </a:xfrm>
        <a:prstGeom prst="rightBrace">
          <a:avLst>
            <a:gd name="adj1" fmla="val 43519"/>
            <a:gd name="adj2" fmla="val 50000"/>
          </a:avLst>
        </a:prstGeom>
        <a:noFill/>
        <a:ln w="9525">
          <a:solidFill>
            <a:srgbClr val="0000FF"/>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1362075</xdr:colOff>
      <xdr:row>36</xdr:row>
      <xdr:rowOff>19050</xdr:rowOff>
    </xdr:from>
    <xdr:to>
      <xdr:col>0</xdr:col>
      <xdr:colOff>1438275</xdr:colOff>
      <xdr:row>37</xdr:row>
      <xdr:rowOff>209550</xdr:rowOff>
    </xdr:to>
    <xdr:sp macro="" textlink="">
      <xdr:nvSpPr>
        <xdr:cNvPr id="21536" name="AutoShape 1"/>
        <xdr:cNvSpPr>
          <a:spLocks/>
        </xdr:cNvSpPr>
      </xdr:nvSpPr>
      <xdr:spPr bwMode="auto">
        <a:xfrm>
          <a:off x="1362075" y="7953375"/>
          <a:ext cx="76200" cy="419100"/>
        </a:xfrm>
        <a:prstGeom prst="rightBrace">
          <a:avLst>
            <a:gd name="adj1" fmla="val 45833"/>
            <a:gd name="adj2" fmla="val 50000"/>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1114425</xdr:colOff>
      <xdr:row>24</xdr:row>
      <xdr:rowOff>19050</xdr:rowOff>
    </xdr:from>
    <xdr:to>
      <xdr:col>0</xdr:col>
      <xdr:colOff>1190625</xdr:colOff>
      <xdr:row>25</xdr:row>
      <xdr:rowOff>152400</xdr:rowOff>
    </xdr:to>
    <xdr:sp macro="" textlink="">
      <xdr:nvSpPr>
        <xdr:cNvPr id="8290" name="AutoShape 1"/>
        <xdr:cNvSpPr>
          <a:spLocks/>
        </xdr:cNvSpPr>
      </xdr:nvSpPr>
      <xdr:spPr bwMode="auto">
        <a:xfrm>
          <a:off x="1114425" y="5200650"/>
          <a:ext cx="76200" cy="323850"/>
        </a:xfrm>
        <a:prstGeom prst="rightBrace">
          <a:avLst>
            <a:gd name="adj1" fmla="val 35417"/>
            <a:gd name="adj2" fmla="val 50000"/>
          </a:avLst>
        </a:prstGeom>
        <a:noFill/>
        <a:ln w="9525">
          <a:solidFill>
            <a:srgbClr val="000000"/>
          </a:solidFill>
          <a:round/>
          <a:headEnd/>
          <a:tailEnd/>
        </a:ln>
      </xdr:spPr>
    </xdr:sp>
    <xdr:clientData/>
  </xdr:twoCellAnchor>
  <xdr:twoCellAnchor>
    <xdr:from>
      <xdr:col>0</xdr:col>
      <xdr:colOff>1114425</xdr:colOff>
      <xdr:row>34</xdr:row>
      <xdr:rowOff>19050</xdr:rowOff>
    </xdr:from>
    <xdr:to>
      <xdr:col>0</xdr:col>
      <xdr:colOff>1190625</xdr:colOff>
      <xdr:row>35</xdr:row>
      <xdr:rowOff>152400</xdr:rowOff>
    </xdr:to>
    <xdr:sp macro="" textlink="">
      <xdr:nvSpPr>
        <xdr:cNvPr id="8291" name="AutoShape 2"/>
        <xdr:cNvSpPr>
          <a:spLocks/>
        </xdr:cNvSpPr>
      </xdr:nvSpPr>
      <xdr:spPr bwMode="auto">
        <a:xfrm>
          <a:off x="1114425" y="7105650"/>
          <a:ext cx="76200" cy="323850"/>
        </a:xfrm>
        <a:prstGeom prst="rightBrace">
          <a:avLst>
            <a:gd name="adj1" fmla="val 35417"/>
            <a:gd name="adj2" fmla="val 50000"/>
          </a:avLst>
        </a:prstGeom>
        <a:noFill/>
        <a:ln w="9525">
          <a:solidFill>
            <a:srgbClr val="000000"/>
          </a:solidFill>
          <a:round/>
          <a:headEnd/>
          <a:tailEnd/>
        </a:ln>
      </xdr:spPr>
    </xdr:sp>
    <xdr:clientData/>
  </xdr:twoCellAnchor>
  <xdr:twoCellAnchor>
    <xdr:from>
      <xdr:col>0</xdr:col>
      <xdr:colOff>1114425</xdr:colOff>
      <xdr:row>39</xdr:row>
      <xdr:rowOff>19050</xdr:rowOff>
    </xdr:from>
    <xdr:to>
      <xdr:col>0</xdr:col>
      <xdr:colOff>1190625</xdr:colOff>
      <xdr:row>40</xdr:row>
      <xdr:rowOff>152400</xdr:rowOff>
    </xdr:to>
    <xdr:sp macro="" textlink="">
      <xdr:nvSpPr>
        <xdr:cNvPr id="8292" name="AutoShape 3"/>
        <xdr:cNvSpPr>
          <a:spLocks/>
        </xdr:cNvSpPr>
      </xdr:nvSpPr>
      <xdr:spPr bwMode="auto">
        <a:xfrm>
          <a:off x="1114425" y="8058150"/>
          <a:ext cx="76200" cy="323850"/>
        </a:xfrm>
        <a:prstGeom prst="rightBrace">
          <a:avLst>
            <a:gd name="adj1" fmla="val 35417"/>
            <a:gd name="adj2" fmla="val 50000"/>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76200</xdr:colOff>
      <xdr:row>26</xdr:row>
      <xdr:rowOff>152400</xdr:rowOff>
    </xdr:from>
    <xdr:to>
      <xdr:col>5</xdr:col>
      <xdr:colOff>142875</xdr:colOff>
      <xdr:row>27</xdr:row>
      <xdr:rowOff>228600</xdr:rowOff>
    </xdr:to>
    <xdr:sp macro="" textlink="">
      <xdr:nvSpPr>
        <xdr:cNvPr id="14493" name="AutoShape 2"/>
        <xdr:cNvSpPr>
          <a:spLocks/>
        </xdr:cNvSpPr>
      </xdr:nvSpPr>
      <xdr:spPr bwMode="auto">
        <a:xfrm flipH="1">
          <a:off x="4619625" y="5467350"/>
          <a:ext cx="66675" cy="400050"/>
        </a:xfrm>
        <a:prstGeom prst="leftBrace">
          <a:avLst>
            <a:gd name="adj1" fmla="val 50000"/>
            <a:gd name="adj2" fmla="val 46875"/>
          </a:avLst>
        </a:prstGeom>
        <a:noFill/>
        <a:ln w="9525">
          <a:solidFill>
            <a:srgbClr val="000000"/>
          </a:solidFill>
          <a:round/>
          <a:headEnd/>
          <a:tailEnd/>
        </a:ln>
      </xdr:spPr>
    </xdr:sp>
    <xdr:clientData/>
  </xdr:twoCellAnchor>
  <xdr:twoCellAnchor>
    <xdr:from>
      <xdr:col>7</xdr:col>
      <xdr:colOff>76200</xdr:colOff>
      <xdr:row>26</xdr:row>
      <xdr:rowOff>142875</xdr:rowOff>
    </xdr:from>
    <xdr:to>
      <xdr:col>7</xdr:col>
      <xdr:colOff>142875</xdr:colOff>
      <xdr:row>27</xdr:row>
      <xdr:rowOff>219075</xdr:rowOff>
    </xdr:to>
    <xdr:sp macro="" textlink="">
      <xdr:nvSpPr>
        <xdr:cNvPr id="14494" name="AutoShape 3"/>
        <xdr:cNvSpPr>
          <a:spLocks/>
        </xdr:cNvSpPr>
      </xdr:nvSpPr>
      <xdr:spPr bwMode="auto">
        <a:xfrm flipH="1">
          <a:off x="6143625" y="5457825"/>
          <a:ext cx="66675" cy="400050"/>
        </a:xfrm>
        <a:prstGeom prst="leftBrace">
          <a:avLst>
            <a:gd name="adj1" fmla="val 50000"/>
            <a:gd name="adj2" fmla="val 46875"/>
          </a:avLst>
        </a:prstGeom>
        <a:noFill/>
        <a:ln w="9525">
          <a:solidFill>
            <a:srgbClr val="000000"/>
          </a:solidFill>
          <a:round/>
          <a:headEnd/>
          <a:tailEnd/>
        </a:ln>
      </xdr:spPr>
    </xdr:sp>
    <xdr:clientData/>
  </xdr:twoCellAnchor>
  <xdr:twoCellAnchor>
    <xdr:from>
      <xdr:col>3</xdr:col>
      <xdr:colOff>76200</xdr:colOff>
      <xdr:row>26</xdr:row>
      <xdr:rowOff>104775</xdr:rowOff>
    </xdr:from>
    <xdr:to>
      <xdr:col>3</xdr:col>
      <xdr:colOff>142875</xdr:colOff>
      <xdr:row>27</xdr:row>
      <xdr:rowOff>180975</xdr:rowOff>
    </xdr:to>
    <xdr:sp macro="" textlink="">
      <xdr:nvSpPr>
        <xdr:cNvPr id="14495" name="AutoShape 4"/>
        <xdr:cNvSpPr>
          <a:spLocks/>
        </xdr:cNvSpPr>
      </xdr:nvSpPr>
      <xdr:spPr bwMode="auto">
        <a:xfrm flipH="1">
          <a:off x="3095625" y="5419725"/>
          <a:ext cx="66675" cy="400050"/>
        </a:xfrm>
        <a:prstGeom prst="leftBrace">
          <a:avLst>
            <a:gd name="adj1" fmla="val 50000"/>
            <a:gd name="adj2" fmla="val 46875"/>
          </a:avLst>
        </a:prstGeom>
        <a:noFill/>
        <a:ln w="9525">
          <a:solidFill>
            <a:srgbClr val="000000"/>
          </a:solidFill>
          <a:round/>
          <a:headEnd/>
          <a:tailEnd/>
        </a:ln>
      </xdr:spPr>
    </xdr:sp>
    <xdr:clientData/>
  </xdr:twoCellAnchor>
  <xdr:twoCellAnchor>
    <xdr:from>
      <xdr:col>1</xdr:col>
      <xdr:colOff>76200</xdr:colOff>
      <xdr:row>26</xdr:row>
      <xdr:rowOff>152400</xdr:rowOff>
    </xdr:from>
    <xdr:to>
      <xdr:col>1</xdr:col>
      <xdr:colOff>142875</xdr:colOff>
      <xdr:row>27</xdr:row>
      <xdr:rowOff>228600</xdr:rowOff>
    </xdr:to>
    <xdr:sp macro="" textlink="">
      <xdr:nvSpPr>
        <xdr:cNvPr id="14496" name="AutoShape 5"/>
        <xdr:cNvSpPr>
          <a:spLocks/>
        </xdr:cNvSpPr>
      </xdr:nvSpPr>
      <xdr:spPr bwMode="auto">
        <a:xfrm flipH="1">
          <a:off x="1571625" y="5467350"/>
          <a:ext cx="66675" cy="400050"/>
        </a:xfrm>
        <a:prstGeom prst="leftBrace">
          <a:avLst>
            <a:gd name="adj1" fmla="val 50000"/>
            <a:gd name="adj2" fmla="val 46875"/>
          </a:avLst>
        </a:prstGeom>
        <a:noFill/>
        <a:ln w="9525">
          <a:solidFill>
            <a:srgbClr val="000000"/>
          </a:solidFill>
          <a:round/>
          <a:headEnd/>
          <a:tailEnd/>
        </a:ln>
      </xdr:spPr>
    </xdr:sp>
    <xdr:clientData/>
  </xdr:twoCellAnchor>
  <xdr:twoCellAnchor>
    <xdr:from>
      <xdr:col>9</xdr:col>
      <xdr:colOff>85725</xdr:colOff>
      <xdr:row>26</xdr:row>
      <xdr:rowOff>142875</xdr:rowOff>
    </xdr:from>
    <xdr:to>
      <xdr:col>9</xdr:col>
      <xdr:colOff>152400</xdr:colOff>
      <xdr:row>27</xdr:row>
      <xdr:rowOff>219075</xdr:rowOff>
    </xdr:to>
    <xdr:sp macro="" textlink="">
      <xdr:nvSpPr>
        <xdr:cNvPr id="14497" name="AutoShape 3"/>
        <xdr:cNvSpPr>
          <a:spLocks/>
        </xdr:cNvSpPr>
      </xdr:nvSpPr>
      <xdr:spPr bwMode="auto">
        <a:xfrm flipH="1">
          <a:off x="7677150" y="5457825"/>
          <a:ext cx="66675" cy="400050"/>
        </a:xfrm>
        <a:prstGeom prst="leftBrace">
          <a:avLst>
            <a:gd name="adj1" fmla="val 50000"/>
            <a:gd name="adj2" fmla="val 46875"/>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933450</xdr:colOff>
      <xdr:row>13</xdr:row>
      <xdr:rowOff>47625</xdr:rowOff>
    </xdr:from>
    <xdr:to>
      <xdr:col>0</xdr:col>
      <xdr:colOff>1009650</xdr:colOff>
      <xdr:row>14</xdr:row>
      <xdr:rowOff>219075</xdr:rowOff>
    </xdr:to>
    <xdr:sp macro="" textlink="">
      <xdr:nvSpPr>
        <xdr:cNvPr id="23649" name="AutoShape 97"/>
        <xdr:cNvSpPr>
          <a:spLocks/>
        </xdr:cNvSpPr>
      </xdr:nvSpPr>
      <xdr:spPr bwMode="auto">
        <a:xfrm>
          <a:off x="933450" y="2962275"/>
          <a:ext cx="76200" cy="419100"/>
        </a:xfrm>
        <a:prstGeom prst="rightBrace">
          <a:avLst>
            <a:gd name="adj1" fmla="val 45833"/>
            <a:gd name="adj2" fmla="val 50000"/>
          </a:avLst>
        </a:prstGeom>
        <a:noFill/>
        <a:ln w="9525">
          <a:solidFill>
            <a:srgbClr val="000000"/>
          </a:solidFill>
          <a:round/>
          <a:headEnd/>
          <a:tailEnd/>
        </a:ln>
      </xdr:spPr>
    </xdr:sp>
    <xdr:clientData/>
  </xdr:twoCellAnchor>
  <xdr:twoCellAnchor>
    <xdr:from>
      <xdr:col>3</xdr:col>
      <xdr:colOff>1047750</xdr:colOff>
      <xdr:row>15</xdr:row>
      <xdr:rowOff>28575</xdr:rowOff>
    </xdr:from>
    <xdr:to>
      <xdr:col>3</xdr:col>
      <xdr:colOff>1123950</xdr:colOff>
      <xdr:row>16</xdr:row>
      <xdr:rowOff>200025</xdr:rowOff>
    </xdr:to>
    <xdr:sp macro="" textlink="">
      <xdr:nvSpPr>
        <xdr:cNvPr id="3" name="AutoShape 97"/>
        <xdr:cNvSpPr>
          <a:spLocks/>
        </xdr:cNvSpPr>
      </xdr:nvSpPr>
      <xdr:spPr bwMode="auto">
        <a:xfrm>
          <a:off x="4772025" y="3438525"/>
          <a:ext cx="76200" cy="419100"/>
        </a:xfrm>
        <a:prstGeom prst="rightBrace">
          <a:avLst>
            <a:gd name="adj1" fmla="val 45833"/>
            <a:gd name="adj2" fmla="val 50000"/>
          </a:avLst>
        </a:prstGeom>
        <a:noFill/>
        <a:ln w="9525">
          <a:solidFill>
            <a:srgbClr val="000000"/>
          </a:solidFill>
          <a:round/>
          <a:headEnd/>
          <a:tailEnd/>
        </a:ln>
      </xdr:spPr>
    </xdr:sp>
    <xdr:clientData/>
  </xdr:twoCellAnchor>
  <xdr:twoCellAnchor>
    <xdr:from>
      <xdr:col>3</xdr:col>
      <xdr:colOff>1085850</xdr:colOff>
      <xdr:row>19</xdr:row>
      <xdr:rowOff>47625</xdr:rowOff>
    </xdr:from>
    <xdr:to>
      <xdr:col>3</xdr:col>
      <xdr:colOff>1162050</xdr:colOff>
      <xdr:row>20</xdr:row>
      <xdr:rowOff>219075</xdr:rowOff>
    </xdr:to>
    <xdr:sp macro="" textlink="">
      <xdr:nvSpPr>
        <xdr:cNvPr id="4" name="AutoShape 97"/>
        <xdr:cNvSpPr>
          <a:spLocks/>
        </xdr:cNvSpPr>
      </xdr:nvSpPr>
      <xdr:spPr bwMode="auto">
        <a:xfrm>
          <a:off x="4810125" y="4448175"/>
          <a:ext cx="76200" cy="419100"/>
        </a:xfrm>
        <a:prstGeom prst="rightBrace">
          <a:avLst>
            <a:gd name="adj1" fmla="val 45833"/>
            <a:gd name="adj2" fmla="val 50000"/>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200025</xdr:colOff>
      <xdr:row>3</xdr:row>
      <xdr:rowOff>28575</xdr:rowOff>
    </xdr:from>
    <xdr:to>
      <xdr:col>0</xdr:col>
      <xdr:colOff>5953125</xdr:colOff>
      <xdr:row>24</xdr:row>
      <xdr:rowOff>47625</xdr:rowOff>
    </xdr:to>
    <xdr:sp macro="" textlink="">
      <xdr:nvSpPr>
        <xdr:cNvPr id="10241" name="AutoShape 1"/>
        <xdr:cNvSpPr>
          <a:spLocks noChangeArrowheads="1"/>
        </xdr:cNvSpPr>
      </xdr:nvSpPr>
      <xdr:spPr bwMode="auto">
        <a:xfrm>
          <a:off x="200025" y="4086225"/>
          <a:ext cx="5753100" cy="3419475"/>
        </a:xfrm>
        <a:prstGeom prst="sun">
          <a:avLst>
            <a:gd name="adj" fmla="val 25000"/>
          </a:avLst>
        </a:prstGeom>
        <a:solidFill>
          <a:srgbClr val="808000"/>
        </a:solidFill>
        <a:ln w="9525">
          <a:solidFill>
            <a:srgbClr val="993366"/>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FF0000"/>
              </a:solidFill>
              <a:latin typeface="Arial"/>
              <a:cs typeface="Arial"/>
            </a:rPr>
            <a:t>                                                               </a:t>
          </a:r>
          <a:r>
            <a:rPr lang="en-US" sz="4200" b="0" i="0" u="none" strike="noStrike" baseline="0">
              <a:solidFill>
                <a:srgbClr val="FFFFFF"/>
              </a:solidFill>
              <a:latin typeface="Arial"/>
              <a:cs typeface="Arial"/>
            </a:rPr>
            <a:t>2008-09</a:t>
          </a:r>
          <a:endParaRPr lang="en-US" sz="4000" b="0" i="0" u="none" strike="noStrike" baseline="0">
            <a:solidFill>
              <a:srgbClr val="FF0000"/>
            </a:solidFill>
            <a:latin typeface="Arial"/>
            <a:cs typeface="Arial"/>
          </a:endParaRPr>
        </a:p>
        <a:p>
          <a:pPr algn="l" rtl="0">
            <a:defRPr sz="1000"/>
          </a:pPr>
          <a:endParaRPr lang="en-US" sz="1000" b="0" i="0" u="none" strike="noStrike" baseline="0">
            <a:solidFill>
              <a:srgbClr val="FF0000"/>
            </a:solidFill>
            <a:latin typeface="Arial"/>
            <a:cs typeface="Arial"/>
          </a:endParaRPr>
        </a:p>
        <a:p>
          <a:pPr algn="l" rtl="0">
            <a:defRPr sz="1000"/>
          </a:pPr>
          <a:endParaRPr lang="en-US" sz="1000" b="0" i="0" u="none" strike="noStrike" baseline="0">
            <a:solidFill>
              <a:srgbClr val="FF0000"/>
            </a:solidFill>
            <a:latin typeface="Arial"/>
            <a:cs typeface="Aria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3</xdr:row>
      <xdr:rowOff>0</xdr:rowOff>
    </xdr:from>
    <xdr:to>
      <xdr:col>8</xdr:col>
      <xdr:colOff>371475</xdr:colOff>
      <xdr:row>51</xdr:row>
      <xdr:rowOff>76200</xdr:rowOff>
    </xdr:to>
    <xdr:sp macro="" textlink="">
      <xdr:nvSpPr>
        <xdr:cNvPr id="25602" name="Homepage"/>
        <xdr:cNvSpPr>
          <a:spLocks noEditPoints="1" noChangeArrowheads="1"/>
        </xdr:cNvSpPr>
      </xdr:nvSpPr>
      <xdr:spPr bwMode="auto">
        <a:xfrm flipH="1">
          <a:off x="47625" y="485775"/>
          <a:ext cx="5200650" cy="7848600"/>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10800 h 21600"/>
            <a:gd name="T14" fmla="*/ 999 w 21600"/>
            <a:gd name="T15" fmla="*/ 12174 h 21600"/>
            <a:gd name="T16" fmla="*/ 20813 w 21600"/>
            <a:gd name="T17" fmla="*/ 17149 h 21600"/>
          </a:gdLst>
          <a:ahLst/>
          <a:cxnLst>
            <a:cxn ang="0">
              <a:pos x="T0" y="T1"/>
            </a:cxn>
            <a:cxn ang="0">
              <a:pos x="T2" y="T3"/>
            </a:cxn>
            <a:cxn ang="0">
              <a:pos x="T4" y="T5"/>
            </a:cxn>
            <a:cxn ang="0">
              <a:pos x="T6" y="T7"/>
            </a:cxn>
            <a:cxn ang="0">
              <a:pos x="T8" y="T9"/>
            </a:cxn>
            <a:cxn ang="0">
              <a:pos x="T10" y="T11"/>
            </a:cxn>
            <a:cxn ang="0">
              <a:pos x="T12" y="T13"/>
            </a:cxn>
          </a:cxnLst>
          <a:rect l="T14" t="T15" r="T16" b="T17"/>
          <a:pathLst>
            <a:path w="21600" h="21600" extrusionOk="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extrusionOk="0">
              <a:moveTo>
                <a:pt x="85" y="17509"/>
              </a:moveTo>
              <a:lnTo>
                <a:pt x="5187" y="17509"/>
              </a:lnTo>
              <a:lnTo>
                <a:pt x="5187" y="21632"/>
              </a:lnTo>
              <a:lnTo>
                <a:pt x="85" y="17509"/>
              </a:lnTo>
              <a:close/>
            </a:path>
            <a:path w="21600" h="21600" extrusionOk="0">
              <a:moveTo>
                <a:pt x="5251" y="7101"/>
              </a:moveTo>
              <a:lnTo>
                <a:pt x="5251" y="11160"/>
              </a:lnTo>
              <a:lnTo>
                <a:pt x="16306" y="11160"/>
              </a:lnTo>
              <a:lnTo>
                <a:pt x="16306" y="7052"/>
              </a:lnTo>
              <a:lnTo>
                <a:pt x="16901" y="6561"/>
              </a:lnTo>
              <a:lnTo>
                <a:pt x="15264" y="5236"/>
              </a:lnTo>
              <a:lnTo>
                <a:pt x="15264" y="1636"/>
              </a:lnTo>
              <a:lnTo>
                <a:pt x="13478" y="1636"/>
              </a:lnTo>
              <a:lnTo>
                <a:pt x="13478" y="3698"/>
              </a:lnTo>
              <a:lnTo>
                <a:pt x="11182" y="1669"/>
              </a:lnTo>
              <a:lnTo>
                <a:pt x="4847" y="6561"/>
              </a:lnTo>
              <a:lnTo>
                <a:pt x="5251" y="7101"/>
              </a:lnTo>
              <a:close/>
            </a:path>
            <a:path w="21600" h="21600" extrusionOk="0">
              <a:moveTo>
                <a:pt x="9396" y="11160"/>
              </a:moveTo>
              <a:lnTo>
                <a:pt x="9396" y="7772"/>
              </a:lnTo>
              <a:lnTo>
                <a:pt x="11820" y="7772"/>
              </a:lnTo>
              <a:lnTo>
                <a:pt x="11820" y="11160"/>
              </a:lnTo>
              <a:lnTo>
                <a:pt x="9396" y="11160"/>
              </a:lnTo>
              <a:close/>
            </a:path>
          </a:pathLst>
        </a:custGeom>
        <a:solidFill>
          <a:srgbClr val="D8EBB3"/>
        </a:solidFill>
        <a:ln w="9525">
          <a:solidFill>
            <a:srgbClr val="000000"/>
          </a:solidFill>
          <a:miter lim="800000"/>
          <a:headEnd/>
          <a:tailEnd/>
        </a:ln>
        <a:effectLst>
          <a:outerShdw dist="107763" dir="2700000" algn="ctr" rotWithShape="0">
            <a:srgbClr val="808080"/>
          </a:outerShdw>
        </a:effectLst>
      </xdr:spPr>
      <xdr:txBody>
        <a:bodyPr vertOverflow="clip" wrap="square" lIns="91440" tIns="45720" rIns="91440" bIns="45720" anchor="t" upright="1"/>
        <a:lstStyle/>
        <a:p>
          <a:pPr algn="ctr" rtl="1">
            <a:defRPr sz="1000"/>
          </a:pPr>
          <a:r>
            <a:rPr lang="en-US" sz="3500" b="0" i="0" strike="noStrike">
              <a:solidFill>
                <a:srgbClr val="000000"/>
              </a:solidFill>
              <a:latin typeface="Times New Roman"/>
              <a:cs typeface="Times New Roman"/>
            </a:rPr>
            <a:t>BLOCK LEVEL </a:t>
          </a:r>
        </a:p>
        <a:p>
          <a:pPr algn="ctr" rtl="1">
            <a:defRPr sz="1000"/>
          </a:pPr>
          <a:r>
            <a:rPr lang="en-US" sz="3500" b="0" i="0" strike="noStrike">
              <a:solidFill>
                <a:srgbClr val="000000"/>
              </a:solidFill>
              <a:latin typeface="Times New Roman"/>
              <a:cs typeface="Times New Roman"/>
            </a:rPr>
            <a:t>STATISTICS</a:t>
          </a:r>
          <a:r>
            <a:rPr lang="en-US" sz="4000" b="0" i="0" strike="noStrike">
              <a:solidFill>
                <a:srgbClr val="000000"/>
              </a:solidFill>
              <a:latin typeface="Times New Roman"/>
              <a:cs typeface="Times New Roman"/>
            </a:rPr>
            <a:t> </a:t>
          </a:r>
        </a:p>
        <a:p>
          <a:pPr algn="ctr" rtl="1">
            <a:defRPr sz="1000"/>
          </a:pPr>
          <a:r>
            <a:rPr lang="en-US" sz="3500" b="1" i="0" strike="noStrike">
              <a:solidFill>
                <a:srgbClr val="000000"/>
              </a:solidFill>
              <a:latin typeface="Rockwell"/>
            </a:rPr>
            <a:t>2013-14</a:t>
          </a:r>
        </a:p>
        <a:p>
          <a:pPr algn="ctr" rtl="1">
            <a:defRPr sz="1000"/>
          </a:pPr>
          <a:endParaRPr lang="en-US" sz="3500" b="1" i="0" strike="noStrike">
            <a:solidFill>
              <a:srgbClr val="000000"/>
            </a:solidFill>
            <a:latin typeface="Rockwe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ANDBOOK_2011/HANDBOOK_2009_NBO1/PURULIA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ankura/HANDBOOK_2009_NBO1/PURULIA20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ANDBOOK_2009_NBO1/PURULIA20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HANDBOOK_2009_NBO1\PURULIA200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P"/>
      <sheetName val="Cover Page"/>
      <sheetName val="PREFACE"/>
      <sheetName val="Contents"/>
      <sheetName val="At a glance"/>
      <sheetName val="1.1,1.2"/>
      <sheetName val="1.3,1.4"/>
      <sheetName val="2.1"/>
      <sheetName val="2.1a,2.1b"/>
      <sheetName val="2.2"/>
      <sheetName val="2.3"/>
      <sheetName val="2.4a"/>
      <sheetName val="2.4b"/>
      <sheetName val="2.5a"/>
      <sheetName val="2.5b"/>
      <sheetName val="2.6"/>
      <sheetName val="2.7"/>
      <sheetName val="2.8"/>
      <sheetName val="2.9,2.10"/>
      <sheetName val="2.10a"/>
      <sheetName val="2.11"/>
      <sheetName val="3.1"/>
      <sheetName val="3.2"/>
      <sheetName val="3.2a"/>
      <sheetName val="3.3"/>
      <sheetName val="3.3a"/>
      <sheetName val="4.1a"/>
      <sheetName val="4.1b"/>
      <sheetName val="4.1c"/>
      <sheetName val="4.2a"/>
      <sheetName val="4.2b"/>
      <sheetName val="4.2c"/>
      <sheetName val="4.3a"/>
      <sheetName val="4.3b"/>
      <sheetName val="4.3c"/>
      <sheetName val="4.4"/>
      <sheetName val="4.5"/>
      <sheetName val="4.6"/>
      <sheetName val="4.7,4.8"/>
      <sheetName val="5.1"/>
      <sheetName val="5.1a,5.1b"/>
      <sheetName val="5.2"/>
      <sheetName val="5.3"/>
      <sheetName val="5.3a"/>
      <sheetName val="5.3b,5.3c"/>
      <sheetName val="5.3d"/>
      <sheetName val="5.4"/>
      <sheetName val="5.5,5.5a"/>
      <sheetName val="5.6,5.7,5.8"/>
      <sheetName val="6.1"/>
      <sheetName val="6.2"/>
      <sheetName val="7.1"/>
      <sheetName val="7.2,7.3"/>
      <sheetName val="8.1,8.2"/>
      <sheetName val="8.2a,8.3"/>
      <sheetName val="8.4,8.4a"/>
      <sheetName val="9.1"/>
      <sheetName val="9.2,9.2a,9.2b"/>
      <sheetName val="10.1,10.2"/>
      <sheetName val="10.3"/>
      <sheetName val="11.1"/>
      <sheetName val="11.1a,11.2"/>
      <sheetName val="11.3,11.4"/>
      <sheetName val="12.1,12.2"/>
      <sheetName val="12.3,12.4"/>
      <sheetName val="12.5,12.6,12.7"/>
      <sheetName val="13.1"/>
      <sheetName val="13.2,13.3"/>
      <sheetName val="14.1,14.2"/>
      <sheetName val="15.1"/>
      <sheetName val="15.2"/>
      <sheetName val="Block_Level"/>
      <sheetName val="16.1"/>
      <sheetName val="17.1"/>
      <sheetName val="17.2"/>
      <sheetName val="18.1"/>
      <sheetName val="18.2"/>
      <sheetName val="18.3"/>
      <sheetName val="19.1"/>
      <sheetName val="20.1"/>
      <sheetName val="20.2"/>
      <sheetName val="21.1"/>
      <sheetName val="21.2"/>
      <sheetName val="Check(Pop)"/>
      <sheetName val="Check(Agri.Lab)"/>
      <sheetName val="Check(Block)"/>
      <sheetName val="Distric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P"/>
      <sheetName val="Cover Page"/>
      <sheetName val="PREFACE"/>
      <sheetName val="Contents"/>
      <sheetName val="At a glance"/>
      <sheetName val="1.1,1.2"/>
      <sheetName val="1.3,1.4"/>
      <sheetName val="2.1"/>
      <sheetName val="2.1a,2.1b"/>
      <sheetName val="2.2"/>
      <sheetName val="2.3"/>
      <sheetName val="2.4a"/>
      <sheetName val="2.4b"/>
      <sheetName val="2.5a"/>
      <sheetName val="2.5b"/>
      <sheetName val="2.6"/>
      <sheetName val="2.7"/>
      <sheetName val="2.8"/>
      <sheetName val="2.9,2.10"/>
      <sheetName val="2.10a"/>
      <sheetName val="2.11"/>
      <sheetName val="3.1"/>
      <sheetName val="3.2"/>
      <sheetName val="3.2a"/>
      <sheetName val="3.3"/>
      <sheetName val="3.3a"/>
      <sheetName val="4.1a"/>
      <sheetName val="4.1b"/>
      <sheetName val="4.1c"/>
      <sheetName val="4.2a"/>
      <sheetName val="4.2b"/>
      <sheetName val="4.2c"/>
      <sheetName val="4.3a"/>
      <sheetName val="4.3b"/>
      <sheetName val="4.3c"/>
      <sheetName val="4.4"/>
      <sheetName val="4.5"/>
      <sheetName val="4.6"/>
      <sheetName val="4.7,4.8"/>
      <sheetName val="5.1"/>
      <sheetName val="5.1a,5.1b"/>
      <sheetName val="5.2"/>
      <sheetName val="5.3"/>
      <sheetName val="5.3a"/>
      <sheetName val="5.3b,5.3c"/>
      <sheetName val="5.3d"/>
      <sheetName val="5.4"/>
      <sheetName val="5.5,5.5a"/>
      <sheetName val="5.6,5.7,5.8"/>
      <sheetName val="6.1"/>
      <sheetName val="6.2"/>
      <sheetName val="7.1"/>
      <sheetName val="7.2,7.3"/>
      <sheetName val="8.1,8.2"/>
      <sheetName val="8.2a,8.3"/>
      <sheetName val="8.4,8.4a"/>
      <sheetName val="9.1"/>
      <sheetName val="9.2,9.2a,9.2b"/>
      <sheetName val="10.1,10.2"/>
      <sheetName val="10.3"/>
      <sheetName val="11.1"/>
      <sheetName val="11.1a,11.2"/>
      <sheetName val="11.3,11.4"/>
      <sheetName val="12.1,12.2"/>
      <sheetName val="12.3,12.4"/>
      <sheetName val="12.5,12.6,12.7"/>
      <sheetName val="13.1"/>
      <sheetName val="13.2,13.3"/>
      <sheetName val="14.1,14.2"/>
      <sheetName val="15.1"/>
      <sheetName val="15.2"/>
      <sheetName val="Block_Level"/>
      <sheetName val="16.1"/>
      <sheetName val="17.1"/>
      <sheetName val="17.2"/>
      <sheetName val="18.1"/>
      <sheetName val="18.2"/>
      <sheetName val="18.3"/>
      <sheetName val="19.1"/>
      <sheetName val="20.1"/>
      <sheetName val="20.2"/>
      <sheetName val="21.1"/>
      <sheetName val="21.2"/>
      <sheetName val="Check(Pop)"/>
      <sheetName val="Check(Agri.Lab)"/>
      <sheetName val="Check(Block)"/>
      <sheetName val="Distri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P"/>
      <sheetName val="Cover Page"/>
      <sheetName val="PREFACE"/>
      <sheetName val="Contents"/>
      <sheetName val="At a glance"/>
      <sheetName val="1.1,1.2"/>
      <sheetName val="1.3,1.4"/>
      <sheetName val="2.1"/>
      <sheetName val="2.1a,2.1b"/>
      <sheetName val="2.2"/>
      <sheetName val="2.3"/>
      <sheetName val="2.4a"/>
      <sheetName val="2.4b"/>
      <sheetName val="2.5a"/>
      <sheetName val="2.5b"/>
      <sheetName val="2.6"/>
      <sheetName val="2.7"/>
      <sheetName val="2.8"/>
      <sheetName val="2.9,2.10"/>
      <sheetName val="2.10a"/>
      <sheetName val="2.11"/>
      <sheetName val="3.1"/>
      <sheetName val="3.2"/>
      <sheetName val="3.2a"/>
      <sheetName val="3.3"/>
      <sheetName val="3.3a"/>
      <sheetName val="4.1a"/>
      <sheetName val="4.1b"/>
      <sheetName val="4.1c"/>
      <sheetName val="4.2a"/>
      <sheetName val="4.2b"/>
      <sheetName val="4.2c"/>
      <sheetName val="4.3a"/>
      <sheetName val="4.3b"/>
      <sheetName val="4.3c"/>
      <sheetName val="4.4"/>
      <sheetName val="4.5"/>
      <sheetName val="4.6"/>
      <sheetName val="4.7,4.8"/>
      <sheetName val="5.1"/>
      <sheetName val="5.1a,5.1b"/>
      <sheetName val="5.2"/>
      <sheetName val="5.3"/>
      <sheetName val="5.3a"/>
      <sheetName val="5.3b,5.3c"/>
      <sheetName val="5.3d"/>
      <sheetName val="5.4"/>
      <sheetName val="5.5,5.5a"/>
      <sheetName val="5.6,5.7,5.8"/>
      <sheetName val="6.1"/>
      <sheetName val="6.2"/>
      <sheetName val="7.1"/>
      <sheetName val="7.2,7.3"/>
      <sheetName val="8.1,8.2"/>
      <sheetName val="8.2a,8.3"/>
      <sheetName val="8.4,8.4a"/>
      <sheetName val="9.1"/>
      <sheetName val="9.2,9.2a,9.2b"/>
      <sheetName val="10.1,10.2"/>
      <sheetName val="10.3"/>
      <sheetName val="11.1"/>
      <sheetName val="11.1a,11.2"/>
      <sheetName val="11.3,11.4"/>
      <sheetName val="12.1,12.2"/>
      <sheetName val="12.3,12.4"/>
      <sheetName val="12.5,12.6,12.7"/>
      <sheetName val="13.1"/>
      <sheetName val="13.2,13.3"/>
      <sheetName val="14.1,14.2"/>
      <sheetName val="15.1"/>
      <sheetName val="15.2"/>
      <sheetName val="Block_Level"/>
      <sheetName val="16.1"/>
      <sheetName val="17.1"/>
      <sheetName val="17.2"/>
      <sheetName val="18.1"/>
      <sheetName val="18.2"/>
      <sheetName val="18.3"/>
      <sheetName val="19.1"/>
      <sheetName val="20.1"/>
      <sheetName val="20.2"/>
      <sheetName val="21.1"/>
      <sheetName val="21.2"/>
      <sheetName val="Check(Pop)"/>
      <sheetName val="Check(Agri.Lab)"/>
      <sheetName val="Check(Block)"/>
      <sheetName val="Distri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AP"/>
      <sheetName val="Cover Page"/>
      <sheetName val="PREFACE"/>
      <sheetName val="Contents"/>
      <sheetName val="At a glance"/>
      <sheetName val="1.1,1.2"/>
      <sheetName val="1.3,1.4"/>
      <sheetName val="2.1"/>
      <sheetName val="2.1a,2.1b"/>
      <sheetName val="2.2"/>
      <sheetName val="2.3"/>
      <sheetName val="2.4a"/>
      <sheetName val="2.4b"/>
      <sheetName val="2.5a"/>
      <sheetName val="2.5b"/>
      <sheetName val="2.6"/>
      <sheetName val="2.7"/>
      <sheetName val="2.8"/>
      <sheetName val="2.9,2.10"/>
      <sheetName val="2.10a"/>
      <sheetName val="2.11"/>
      <sheetName val="3.1"/>
      <sheetName val="3.2"/>
      <sheetName val="3.2a"/>
      <sheetName val="3.3"/>
      <sheetName val="3.3a"/>
      <sheetName val="4.1a"/>
      <sheetName val="4.1b"/>
      <sheetName val="4.1c"/>
      <sheetName val="4.2a"/>
      <sheetName val="4.2b"/>
      <sheetName val="4.2c"/>
      <sheetName val="4.3a"/>
      <sheetName val="4.3b"/>
      <sheetName val="4.3c"/>
      <sheetName val="4.4"/>
      <sheetName val="4.5"/>
      <sheetName val="4.6"/>
      <sheetName val="4.7,4.8"/>
      <sheetName val="5.1"/>
      <sheetName val="5.1a,5.1b"/>
      <sheetName val="5.2"/>
      <sheetName val="5.3"/>
      <sheetName val="5.3a"/>
      <sheetName val="5.3b,5.3c"/>
      <sheetName val="5.3d"/>
      <sheetName val="5.4"/>
      <sheetName val="5.5,5.5a"/>
      <sheetName val="5.6,5.7,5.8"/>
      <sheetName val="6.1"/>
      <sheetName val="6.2"/>
      <sheetName val="7.1"/>
      <sheetName val="7.2,7.3"/>
      <sheetName val="8.1,8.2"/>
      <sheetName val="8.2a,8.3"/>
      <sheetName val="8.4,8.4a"/>
      <sheetName val="9.1"/>
      <sheetName val="9.2,9.2a,9.2b"/>
      <sheetName val="10.1,10.2"/>
      <sheetName val="10.3"/>
      <sheetName val="11.1"/>
      <sheetName val="11.1a,11.2"/>
      <sheetName val="11.3,11.4"/>
      <sheetName val="12.1,12.2"/>
      <sheetName val="12.3,12.4"/>
      <sheetName val="12.5,12.6,12.7"/>
      <sheetName val="13.1"/>
      <sheetName val="13.2,13.3"/>
      <sheetName val="14.1,14.2"/>
      <sheetName val="15.1"/>
      <sheetName val="15.2"/>
      <sheetName val="Block_Level"/>
      <sheetName val="16.1"/>
      <sheetName val="17.1"/>
      <sheetName val="17.2"/>
      <sheetName val="18.1"/>
      <sheetName val="18.2"/>
      <sheetName val="18.3"/>
      <sheetName val="19.1"/>
      <sheetName val="20.1"/>
      <sheetName val="20.2"/>
      <sheetName val="21.1"/>
      <sheetName val="21.2"/>
      <sheetName val="Check(Pop)"/>
      <sheetName val="Check(Agri.Lab)"/>
      <sheetName val="Check(Block)"/>
      <sheetName val="Distric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3" Type="http://schemas.openxmlformats.org/officeDocument/2006/relationships/oleObject" Target="../embeddings/Microsoft_Office_Word_97_-_2003_Document2.doc"/><Relationship Id="rId2" Type="http://schemas.openxmlformats.org/officeDocument/2006/relationships/vmlDrawing" Target="../drawings/vmlDrawing3.vml"/><Relationship Id="rId1" Type="http://schemas.openxmlformats.org/officeDocument/2006/relationships/printerSettings" Target="../printerSettings/printerSettings49.bin"/><Relationship Id="rId4" Type="http://schemas.openxmlformats.org/officeDocument/2006/relationships/oleObject" Target="../embeddings/Microsoft_Office_Word_97_-_2003_Document3.doc"/></Relationships>
</file>

<file path=xl/worksheets/_rels/sheet5.xml.rels><?xml version="1.0" encoding="UTF-8" standalone="yes"?>
<Relationships xmlns="http://schemas.openxmlformats.org/package/2006/relationships"><Relationship Id="rId3" Type="http://schemas.openxmlformats.org/officeDocument/2006/relationships/oleObject" Target="../embeddings/Microsoft_Office_Word_97_-_2003_Document1.doc"/><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3" Type="http://schemas.openxmlformats.org/officeDocument/2006/relationships/oleObject" Target="../embeddings/Microsoft_Office_Word_97_-_2003_Document4.doc"/><Relationship Id="rId2" Type="http://schemas.openxmlformats.org/officeDocument/2006/relationships/vmlDrawing" Target="../drawings/vmlDrawing4.vml"/><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sheet1.xml><?xml version="1.0" encoding="utf-8"?>
<worksheet xmlns="http://schemas.openxmlformats.org/spreadsheetml/2006/main" xmlns:r="http://schemas.openxmlformats.org/officeDocument/2006/relationships">
  <sheetPr codeName="Sheet42"/>
  <dimension ref="A36:I57"/>
  <sheetViews>
    <sheetView tabSelected="1" workbookViewId="0">
      <selection activeCell="F1" sqref="F1"/>
    </sheetView>
  </sheetViews>
  <sheetFormatPr defaultRowHeight="12.75"/>
  <cols>
    <col min="7" max="7" width="9.28515625" customWidth="1"/>
  </cols>
  <sheetData>
    <row r="36" ht="27.75" customHeight="1"/>
    <row r="37" ht="12.75" customHeight="1"/>
    <row r="55" spans="1:9" ht="20.25">
      <c r="A55" s="1163" t="s">
        <v>661</v>
      </c>
      <c r="B55" s="1163"/>
      <c r="C55" s="1163"/>
      <c r="D55" s="1163"/>
      <c r="E55" s="1163"/>
      <c r="F55" s="1163"/>
      <c r="G55" s="1163"/>
      <c r="H55" s="1163"/>
      <c r="I55" s="1163"/>
    </row>
    <row r="56" spans="1:9" ht="23.25">
      <c r="A56" s="1164" t="s">
        <v>1219</v>
      </c>
      <c r="B56" s="1164"/>
      <c r="C56" s="1164"/>
      <c r="D56" s="1164"/>
      <c r="E56" s="1164"/>
      <c r="F56" s="1164"/>
      <c r="G56" s="1164"/>
      <c r="H56" s="1164"/>
      <c r="I56" s="1164"/>
    </row>
    <row r="57" spans="1:9" ht="15.75">
      <c r="A57" s="1162" t="s">
        <v>662</v>
      </c>
      <c r="B57" s="1162"/>
      <c r="C57" s="1162"/>
      <c r="D57" s="1162"/>
      <c r="E57" s="1162"/>
      <c r="F57" s="1162"/>
      <c r="G57" s="1162"/>
      <c r="H57" s="1162"/>
      <c r="I57" s="1162"/>
    </row>
  </sheetData>
  <mergeCells count="3">
    <mergeCell ref="A57:I57"/>
    <mergeCell ref="A55:I55"/>
    <mergeCell ref="A56:I56"/>
  </mergeCells>
  <phoneticPr fontId="0" type="noConversion"/>
  <printOptions horizontalCentered="1"/>
  <pageMargins left="0.15" right="0.15" top="0.75" bottom="0.53" header="0.68" footer="0.5"/>
  <pageSetup paperSize="9" orientation="portrait" horizontalDpi="4294967295" r:id="rId1"/>
  <headerFooter alignWithMargins="0"/>
  <drawing r:id="rId2"/>
  <legacyDrawing r:id="rId3"/>
  <oleObjects>
    <oleObject progId="CorelDRAW.Graphic.9" shapeId="1027" r:id="rId4"/>
  </oleObjects>
</worksheet>
</file>

<file path=xl/worksheets/sheet10.xml><?xml version="1.0" encoding="utf-8"?>
<worksheet xmlns="http://schemas.openxmlformats.org/spreadsheetml/2006/main" xmlns:r="http://schemas.openxmlformats.org/officeDocument/2006/relationships">
  <sheetPr codeName="Sheet6" enableFormatConditionsCalculation="0"/>
  <dimension ref="A1:F34"/>
  <sheetViews>
    <sheetView topLeftCell="B1" workbookViewId="0">
      <selection activeCell="M30" sqref="M30"/>
    </sheetView>
  </sheetViews>
  <sheetFormatPr defaultRowHeight="12.75"/>
  <cols>
    <col min="1" max="1" width="6" style="172" hidden="1" customWidth="1"/>
    <col min="2" max="2" width="21.85546875" style="172" customWidth="1"/>
    <col min="3" max="3" width="11.85546875" style="172" customWidth="1"/>
    <col min="4" max="4" width="13.42578125" style="172" customWidth="1"/>
    <col min="5" max="5" width="13" style="172" customWidth="1"/>
    <col min="6" max="6" width="19.42578125" style="172" customWidth="1"/>
    <col min="7" max="16384" width="9.140625" style="172"/>
  </cols>
  <sheetData>
    <row r="1" spans="2:6" ht="15" customHeight="1">
      <c r="B1" s="1229" t="s">
        <v>1604</v>
      </c>
      <c r="C1" s="1229"/>
      <c r="D1" s="1229"/>
      <c r="E1" s="1229"/>
      <c r="F1" s="1229"/>
    </row>
    <row r="2" spans="2:6" s="206" customFormat="1" ht="19.5" customHeight="1">
      <c r="B2" s="1189" t="str">
        <f>CONCATENATE("Area, Population and Density of Population in the district of ",District!$A$1,", 2011")</f>
        <v>Area, Population and Density of Population in the district of Bankura, 2011</v>
      </c>
      <c r="C2" s="1189"/>
      <c r="D2" s="1189"/>
      <c r="E2" s="1189"/>
      <c r="F2" s="1189"/>
    </row>
    <row r="3" spans="2:6" ht="42" customHeight="1">
      <c r="B3" s="274" t="s">
        <v>1537</v>
      </c>
      <c r="C3" s="207" t="s">
        <v>103</v>
      </c>
      <c r="D3" s="207" t="s">
        <v>1250</v>
      </c>
      <c r="E3" s="229" t="s">
        <v>777</v>
      </c>
      <c r="F3" s="276" t="s">
        <v>778</v>
      </c>
    </row>
    <row r="4" spans="2:6" ht="15.75" customHeight="1">
      <c r="B4" s="161" t="s">
        <v>418</v>
      </c>
      <c r="C4" s="213" t="s">
        <v>419</v>
      </c>
      <c r="D4" s="213" t="s">
        <v>420</v>
      </c>
      <c r="E4" s="222" t="s">
        <v>421</v>
      </c>
      <c r="F4" s="277" t="s">
        <v>422</v>
      </c>
    </row>
    <row r="5" spans="2:6" ht="19.5" customHeight="1">
      <c r="B5" s="64" t="s">
        <v>717</v>
      </c>
      <c r="C5" s="43">
        <f>SUM(C6:C14)</f>
        <v>2596.1099999999997</v>
      </c>
      <c r="D5" s="43">
        <f>SUM(D6:D14)</f>
        <v>1439148</v>
      </c>
      <c r="E5" s="278">
        <f t="shared" ref="E5:E33" si="0">D5/C5</f>
        <v>554.34785120815377</v>
      </c>
      <c r="F5" s="279">
        <f t="shared" ref="F5:F33" si="1">ROUND(D5/$D$33*100,2)</f>
        <v>40.01</v>
      </c>
    </row>
    <row r="6" spans="2:6" ht="19.5" customHeight="1">
      <c r="B6" s="90" t="s">
        <v>596</v>
      </c>
      <c r="C6" s="280">
        <v>171.09</v>
      </c>
      <c r="D6" s="183">
        <v>107685</v>
      </c>
      <c r="E6" s="281">
        <f t="shared" si="0"/>
        <v>629.40557601262492</v>
      </c>
      <c r="F6" s="85">
        <f t="shared" si="1"/>
        <v>2.99</v>
      </c>
    </row>
    <row r="7" spans="2:6" ht="19.5" customHeight="1">
      <c r="B7" s="90" t="s">
        <v>365</v>
      </c>
      <c r="C7" s="280">
        <v>19.059999999999999</v>
      </c>
      <c r="D7" s="183">
        <v>137386</v>
      </c>
      <c r="E7" s="281">
        <f t="shared" si="0"/>
        <v>7208.0797481636937</v>
      </c>
      <c r="F7" s="85">
        <f>ROUND(D7/$D$33*100,2)</f>
        <v>3.82</v>
      </c>
    </row>
    <row r="8" spans="2:6" ht="19.5" customHeight="1">
      <c r="B8" s="90" t="s">
        <v>595</v>
      </c>
      <c r="C8" s="280">
        <v>220.84</v>
      </c>
      <c r="D8" s="183">
        <v>140864</v>
      </c>
      <c r="E8" s="281">
        <f t="shared" si="0"/>
        <v>637.85546096721612</v>
      </c>
      <c r="F8" s="85">
        <f t="shared" si="1"/>
        <v>3.92</v>
      </c>
    </row>
    <row r="9" spans="2:6" ht="19.5" customHeight="1">
      <c r="B9" s="90" t="s">
        <v>597</v>
      </c>
      <c r="C9" s="280">
        <v>447.47</v>
      </c>
      <c r="D9" s="183">
        <v>195038</v>
      </c>
      <c r="E9" s="281">
        <f t="shared" si="0"/>
        <v>435.86832636824812</v>
      </c>
      <c r="F9" s="85">
        <f t="shared" si="1"/>
        <v>5.42</v>
      </c>
    </row>
    <row r="10" spans="2:6" ht="19.5" customHeight="1">
      <c r="B10" s="90" t="s">
        <v>598</v>
      </c>
      <c r="C10" s="280">
        <v>312.62</v>
      </c>
      <c r="D10" s="183">
        <v>135980</v>
      </c>
      <c r="E10" s="281">
        <f t="shared" si="0"/>
        <v>434.96897191478473</v>
      </c>
      <c r="F10" s="85">
        <f t="shared" si="1"/>
        <v>3.78</v>
      </c>
    </row>
    <row r="11" spans="2:6" ht="19.5" customHeight="1">
      <c r="B11" s="90" t="s">
        <v>599</v>
      </c>
      <c r="C11" s="280">
        <v>162.87</v>
      </c>
      <c r="D11" s="183">
        <v>86188</v>
      </c>
      <c r="E11" s="281">
        <f t="shared" si="0"/>
        <v>529.18278381531286</v>
      </c>
      <c r="F11" s="85">
        <f t="shared" si="1"/>
        <v>2.4</v>
      </c>
    </row>
    <row r="12" spans="2:6" ht="19.5" customHeight="1">
      <c r="B12" s="90" t="s">
        <v>771</v>
      </c>
      <c r="C12" s="280">
        <v>366.47</v>
      </c>
      <c r="D12" s="183">
        <v>180974</v>
      </c>
      <c r="E12" s="281">
        <f t="shared" si="0"/>
        <v>493.83032717548502</v>
      </c>
      <c r="F12" s="85">
        <f t="shared" si="1"/>
        <v>5.03</v>
      </c>
    </row>
    <row r="13" spans="2:6" ht="19.5" customHeight="1">
      <c r="B13" s="90" t="s">
        <v>600</v>
      </c>
      <c r="C13" s="280">
        <v>393.23</v>
      </c>
      <c r="D13" s="183">
        <v>202049</v>
      </c>
      <c r="E13" s="281">
        <f t="shared" si="0"/>
        <v>513.81888462223128</v>
      </c>
      <c r="F13" s="85">
        <f t="shared" si="1"/>
        <v>5.62</v>
      </c>
    </row>
    <row r="14" spans="2:6" ht="19.5" customHeight="1">
      <c r="B14" s="90" t="s">
        <v>602</v>
      </c>
      <c r="C14" s="280">
        <v>502.46</v>
      </c>
      <c r="D14" s="183">
        <v>252984</v>
      </c>
      <c r="E14" s="281">
        <f t="shared" si="0"/>
        <v>503.49082514030971</v>
      </c>
      <c r="F14" s="85">
        <f t="shared" si="1"/>
        <v>7.03</v>
      </c>
    </row>
    <row r="15" spans="2:6" ht="19.5" customHeight="1">
      <c r="B15" s="64" t="s">
        <v>366</v>
      </c>
      <c r="C15" s="43">
        <f>SUM(C16:C23)</f>
        <v>2407.4900000000002</v>
      </c>
      <c r="D15" s="43">
        <f>SUM(D16:D23)</f>
        <v>1045591</v>
      </c>
      <c r="E15" s="278">
        <f t="shared" si="0"/>
        <v>434.30751529601366</v>
      </c>
      <c r="F15" s="279">
        <f t="shared" si="1"/>
        <v>29.07</v>
      </c>
    </row>
    <row r="16" spans="2:6" ht="19.5" customHeight="1">
      <c r="B16" s="90" t="s">
        <v>605</v>
      </c>
      <c r="C16" s="282">
        <v>302.60000000000002</v>
      </c>
      <c r="D16" s="280">
        <v>156522</v>
      </c>
      <c r="E16" s="281">
        <f t="shared" si="0"/>
        <v>517.25710508922668</v>
      </c>
      <c r="F16" s="85">
        <f t="shared" si="1"/>
        <v>4.3499999999999996</v>
      </c>
    </row>
    <row r="17" spans="2:6" ht="19.5" customHeight="1">
      <c r="B17" s="90" t="s">
        <v>604</v>
      </c>
      <c r="C17" s="280">
        <v>231.82</v>
      </c>
      <c r="D17" s="183">
        <v>117030</v>
      </c>
      <c r="E17" s="281">
        <f t="shared" si="0"/>
        <v>504.83133465619881</v>
      </c>
      <c r="F17" s="85">
        <f t="shared" si="1"/>
        <v>3.25</v>
      </c>
    </row>
    <row r="18" spans="2:6" ht="19.5" customHeight="1">
      <c r="B18" s="90" t="s">
        <v>368</v>
      </c>
      <c r="C18" s="280">
        <v>190.97</v>
      </c>
      <c r="D18" s="183">
        <v>83834</v>
      </c>
      <c r="E18" s="281">
        <f t="shared" si="0"/>
        <v>438.99041734303819</v>
      </c>
      <c r="F18" s="85">
        <f t="shared" si="1"/>
        <v>2.33</v>
      </c>
    </row>
    <row r="19" spans="2:6" ht="19.5" customHeight="1">
      <c r="B19" s="90" t="s">
        <v>606</v>
      </c>
      <c r="C19" s="280">
        <v>428.51</v>
      </c>
      <c r="D19" s="183">
        <v>119089</v>
      </c>
      <c r="E19" s="281">
        <f t="shared" si="0"/>
        <v>277.91416769736998</v>
      </c>
      <c r="F19" s="85">
        <f t="shared" si="1"/>
        <v>3.31</v>
      </c>
    </row>
    <row r="20" spans="2:6" ht="19.5" customHeight="1">
      <c r="B20" s="90" t="s">
        <v>347</v>
      </c>
      <c r="C20" s="280">
        <v>349.74</v>
      </c>
      <c r="D20" s="183">
        <v>147893</v>
      </c>
      <c r="E20" s="281">
        <f t="shared" si="0"/>
        <v>422.86555727111568</v>
      </c>
      <c r="F20" s="85">
        <f t="shared" si="1"/>
        <v>4.1100000000000003</v>
      </c>
    </row>
    <row r="21" spans="2:6" ht="19.5" customHeight="1">
      <c r="B21" s="90" t="s">
        <v>369</v>
      </c>
      <c r="C21" s="280">
        <v>310.14999999999998</v>
      </c>
      <c r="D21" s="183">
        <v>143038</v>
      </c>
      <c r="E21" s="281">
        <f t="shared" si="0"/>
        <v>461.18974689666294</v>
      </c>
      <c r="F21" s="85">
        <f t="shared" si="1"/>
        <v>3.98</v>
      </c>
    </row>
    <row r="22" spans="2:6" ht="19.5" customHeight="1">
      <c r="B22" s="90" t="s">
        <v>349</v>
      </c>
      <c r="C22" s="280">
        <v>369.92</v>
      </c>
      <c r="D22" s="183">
        <v>171377</v>
      </c>
      <c r="E22" s="281">
        <f t="shared" si="0"/>
        <v>463.28125</v>
      </c>
      <c r="F22" s="85">
        <f>ROUND(D22/$D$33*100,2)+0.01</f>
        <v>4.7699999999999996</v>
      </c>
    </row>
    <row r="23" spans="2:6" ht="19.5" customHeight="1">
      <c r="B23" s="90" t="s">
        <v>370</v>
      </c>
      <c r="C23" s="280">
        <v>223.78</v>
      </c>
      <c r="D23" s="183">
        <v>106808</v>
      </c>
      <c r="E23" s="281">
        <f t="shared" si="0"/>
        <v>477.29019572794709</v>
      </c>
      <c r="F23" s="85">
        <f t="shared" si="1"/>
        <v>2.97</v>
      </c>
    </row>
    <row r="24" spans="2:6" ht="19.5" customHeight="1">
      <c r="B24" s="64" t="s">
        <v>371</v>
      </c>
      <c r="C24" s="43">
        <f>SUM(C25:C32)</f>
        <v>1870.05</v>
      </c>
      <c r="D24" s="43">
        <f>SUM(D25:D32)</f>
        <v>1111935</v>
      </c>
      <c r="E24" s="278">
        <f t="shared" si="0"/>
        <v>594.60174861634721</v>
      </c>
      <c r="F24" s="279">
        <f t="shared" si="1"/>
        <v>30.92</v>
      </c>
    </row>
    <row r="25" spans="2:6" ht="19.5" customHeight="1">
      <c r="B25" s="90" t="s">
        <v>350</v>
      </c>
      <c r="C25" s="280">
        <v>365.73</v>
      </c>
      <c r="D25" s="183">
        <v>156822</v>
      </c>
      <c r="E25" s="281">
        <f t="shared" si="0"/>
        <v>428.79173160528256</v>
      </c>
      <c r="F25" s="85">
        <f t="shared" si="1"/>
        <v>4.3600000000000003</v>
      </c>
    </row>
    <row r="26" spans="2:6" ht="19.5" customHeight="1">
      <c r="B26" s="90" t="s">
        <v>356</v>
      </c>
      <c r="C26" s="183">
        <v>22.01</v>
      </c>
      <c r="D26" s="281">
        <v>67783</v>
      </c>
      <c r="E26" s="281">
        <f t="shared" si="0"/>
        <v>3079.6456156292593</v>
      </c>
      <c r="F26" s="85">
        <f t="shared" si="1"/>
        <v>1.88</v>
      </c>
    </row>
    <row r="27" spans="2:6" ht="19.5" customHeight="1">
      <c r="B27" s="90" t="s">
        <v>351</v>
      </c>
      <c r="C27" s="183">
        <v>263.82</v>
      </c>
      <c r="D27" s="281">
        <v>156920</v>
      </c>
      <c r="E27" s="281">
        <f t="shared" si="0"/>
        <v>594.79948449700555</v>
      </c>
      <c r="F27" s="85">
        <f t="shared" si="1"/>
        <v>4.3600000000000003</v>
      </c>
    </row>
    <row r="28" spans="2:6" ht="19.5" customHeight="1">
      <c r="B28" s="90" t="s">
        <v>352</v>
      </c>
      <c r="C28" s="183">
        <v>250.38</v>
      </c>
      <c r="D28" s="281">
        <v>188775</v>
      </c>
      <c r="E28" s="281">
        <f t="shared" si="0"/>
        <v>753.95398993529841</v>
      </c>
      <c r="F28" s="85">
        <f>ROUND(D28/$D$33*100,2)+0.01</f>
        <v>5.26</v>
      </c>
    </row>
    <row r="29" spans="2:6" ht="19.5" customHeight="1">
      <c r="B29" s="90" t="s">
        <v>353</v>
      </c>
      <c r="C29" s="183">
        <v>378.85</v>
      </c>
      <c r="D29" s="281">
        <v>158697</v>
      </c>
      <c r="E29" s="281">
        <f t="shared" si="0"/>
        <v>418.89138181338257</v>
      </c>
      <c r="F29" s="85">
        <f t="shared" si="1"/>
        <v>4.41</v>
      </c>
    </row>
    <row r="30" spans="2:6" ht="19.5" customHeight="1">
      <c r="B30" s="90" t="s">
        <v>362</v>
      </c>
      <c r="C30" s="183">
        <v>11.65</v>
      </c>
      <c r="D30" s="281">
        <v>29085</v>
      </c>
      <c r="E30" s="281">
        <f t="shared" si="0"/>
        <v>2496.56652360515</v>
      </c>
      <c r="F30" s="85">
        <f t="shared" si="1"/>
        <v>0.81</v>
      </c>
    </row>
    <row r="31" spans="2:6" ht="19.5" customHeight="1">
      <c r="B31" s="90" t="s">
        <v>354</v>
      </c>
      <c r="C31" s="183">
        <v>322.62</v>
      </c>
      <c r="D31" s="281">
        <v>184070</v>
      </c>
      <c r="E31" s="281">
        <f t="shared" si="0"/>
        <v>570.54739321802742</v>
      </c>
      <c r="F31" s="85">
        <f t="shared" si="1"/>
        <v>5.12</v>
      </c>
    </row>
    <row r="32" spans="2:6" ht="19.5" customHeight="1">
      <c r="B32" s="90" t="s">
        <v>355</v>
      </c>
      <c r="C32" s="248">
        <v>254.99</v>
      </c>
      <c r="D32" s="283">
        <v>169783</v>
      </c>
      <c r="E32" s="281">
        <f t="shared" si="0"/>
        <v>665.84179771755748</v>
      </c>
      <c r="F32" s="85">
        <f t="shared" si="1"/>
        <v>4.72</v>
      </c>
    </row>
    <row r="33" spans="2:6" ht="19.5" customHeight="1">
      <c r="B33" s="205" t="s">
        <v>1120</v>
      </c>
      <c r="C33" s="77">
        <v>6882</v>
      </c>
      <c r="D33" s="34">
        <f>SUM(D5,D15,D24)</f>
        <v>3596674</v>
      </c>
      <c r="E33" s="284">
        <f t="shared" si="0"/>
        <v>522.62045916884631</v>
      </c>
      <c r="F33" s="905">
        <f t="shared" si="1"/>
        <v>100</v>
      </c>
    </row>
    <row r="34" spans="2:6" ht="29.25" customHeight="1">
      <c r="B34" s="1230" t="s">
        <v>541</v>
      </c>
      <c r="C34" s="1230"/>
      <c r="D34" s="1230"/>
      <c r="E34" s="287"/>
      <c r="F34" s="721" t="s">
        <v>560</v>
      </c>
    </row>
  </sheetData>
  <mergeCells count="3">
    <mergeCell ref="B2:F2"/>
    <mergeCell ref="B1:F1"/>
    <mergeCell ref="B34:D34"/>
  </mergeCells>
  <phoneticPr fontId="0" type="noConversion"/>
  <printOptions horizontalCentered="1"/>
  <pageMargins left="0.16" right="0.16" top="1" bottom="0.55000000000000004" header="0.5" footer="0.5"/>
  <pageSetup paperSize="9" orientation="portrait" copies="2" r:id="rId1"/>
  <headerFooter alignWithMargins="0"/>
</worksheet>
</file>

<file path=xl/worksheets/sheet11.xml><?xml version="1.0" encoding="utf-8"?>
<worksheet xmlns="http://schemas.openxmlformats.org/spreadsheetml/2006/main" xmlns:r="http://schemas.openxmlformats.org/officeDocument/2006/relationships">
  <sheetPr codeName="Sheet10" enableFormatConditionsCalculation="0"/>
  <dimension ref="B1:J54"/>
  <sheetViews>
    <sheetView workbookViewId="0">
      <selection activeCell="M30" sqref="M30"/>
    </sheetView>
  </sheetViews>
  <sheetFormatPr defaultRowHeight="12.75"/>
  <cols>
    <col min="1" max="1" width="0.140625" style="172" customWidth="1"/>
    <col min="2" max="2" width="15.42578125" style="172" customWidth="1"/>
    <col min="3" max="3" width="14.140625" style="172" customWidth="1"/>
    <col min="4" max="4" width="14.5703125" style="172" customWidth="1"/>
    <col min="5" max="5" width="13" style="172" customWidth="1"/>
    <col min="6" max="6" width="13.5703125" style="172" customWidth="1"/>
    <col min="7" max="7" width="14" style="172" customWidth="1"/>
    <col min="8" max="8" width="14.28515625" style="172" customWidth="1"/>
    <col min="9" max="9" width="14" style="172" customWidth="1"/>
    <col min="10" max="10" width="19.85546875" style="172" customWidth="1"/>
    <col min="11" max="16384" width="9.140625" style="172"/>
  </cols>
  <sheetData>
    <row r="1" spans="2:10" ht="16.5" customHeight="1">
      <c r="B1" s="1181" t="s">
        <v>701</v>
      </c>
      <c r="C1" s="1181"/>
      <c r="D1" s="1181"/>
      <c r="E1" s="1181"/>
      <c r="F1" s="1181"/>
      <c r="G1" s="1181"/>
      <c r="H1" s="1181"/>
      <c r="I1" s="1181"/>
      <c r="J1" s="1181"/>
    </row>
    <row r="2" spans="2:10" s="206" customFormat="1" ht="19.5" customHeight="1">
      <c r="B2" s="1189" t="str">
        <f>CONCATENATE("Growth of Population by sex on different Census years in the district of ",District!$A$1)</f>
        <v>Growth of Population by sex on different Census years in the district of Bankura</v>
      </c>
      <c r="C2" s="1189"/>
      <c r="D2" s="1189"/>
      <c r="E2" s="1189"/>
      <c r="F2" s="1189"/>
      <c r="G2" s="1189"/>
      <c r="H2" s="1189"/>
      <c r="I2" s="1189"/>
      <c r="J2" s="1189"/>
    </row>
    <row r="3" spans="2:10">
      <c r="B3" s="206"/>
      <c r="C3" s="288"/>
      <c r="D3" s="288"/>
      <c r="E3" s="289"/>
      <c r="F3" s="289"/>
      <c r="G3" s="288"/>
      <c r="H3" s="206"/>
      <c r="I3" s="206"/>
      <c r="J3" s="198" t="s">
        <v>1103</v>
      </c>
    </row>
    <row r="4" spans="2:10" ht="42.75" customHeight="1">
      <c r="B4" s="58" t="s">
        <v>304</v>
      </c>
      <c r="C4" s="229" t="s">
        <v>743</v>
      </c>
      <c r="D4" s="207" t="s">
        <v>530</v>
      </c>
      <c r="E4" s="229" t="s">
        <v>779</v>
      </c>
      <c r="F4" s="207" t="s">
        <v>780</v>
      </c>
      <c r="G4" s="207" t="s">
        <v>781</v>
      </c>
      <c r="H4" s="617" t="s">
        <v>782</v>
      </c>
      <c r="I4" s="229" t="s">
        <v>783</v>
      </c>
      <c r="J4" s="207" t="s">
        <v>784</v>
      </c>
    </row>
    <row r="5" spans="2:10" ht="21.75" customHeight="1">
      <c r="B5" s="213" t="s">
        <v>418</v>
      </c>
      <c r="C5" s="213" t="s">
        <v>419</v>
      </c>
      <c r="D5" s="213" t="s">
        <v>420</v>
      </c>
      <c r="E5" s="213" t="s">
        <v>421</v>
      </c>
      <c r="F5" s="213" t="s">
        <v>422</v>
      </c>
      <c r="G5" s="213" t="s">
        <v>423</v>
      </c>
      <c r="H5" s="292" t="s">
        <v>424</v>
      </c>
      <c r="I5" s="222" t="s">
        <v>440</v>
      </c>
      <c r="J5" s="213" t="s">
        <v>441</v>
      </c>
    </row>
    <row r="6" spans="2:10" ht="31.5" customHeight="1">
      <c r="B6" s="117">
        <v>1901</v>
      </c>
      <c r="C6" s="386">
        <v>1116411</v>
      </c>
      <c r="D6" s="628">
        <f t="shared" ref="D6:D17" si="0">C6/$C$6*100</f>
        <v>100</v>
      </c>
      <c r="E6" s="223">
        <v>549484</v>
      </c>
      <c r="F6" s="904">
        <f t="shared" ref="F6:F17" si="1">C6-E6</f>
        <v>566927</v>
      </c>
      <c r="G6" s="641">
        <f t="shared" ref="G6:G17" si="2">F6/E6*100</f>
        <v>103.17443274053475</v>
      </c>
      <c r="H6" s="902">
        <v>53275</v>
      </c>
      <c r="I6" s="641">
        <f t="shared" ref="I6:I17" si="3">C6-H6</f>
        <v>1063136</v>
      </c>
      <c r="J6" s="223">
        <f t="shared" ref="J6:J17" si="4">ROUND(I6/C6*100,2)</f>
        <v>95.23</v>
      </c>
    </row>
    <row r="7" spans="2:10" ht="31.5" customHeight="1">
      <c r="B7" s="29">
        <v>1911</v>
      </c>
      <c r="C7" s="280">
        <v>1138670</v>
      </c>
      <c r="D7" s="293">
        <f t="shared" si="0"/>
        <v>101.99379977445582</v>
      </c>
      <c r="E7" s="183">
        <v>562585</v>
      </c>
      <c r="F7" s="328">
        <f t="shared" si="1"/>
        <v>576085</v>
      </c>
      <c r="G7" s="281">
        <f t="shared" si="2"/>
        <v>102.39963738812801</v>
      </c>
      <c r="H7" s="293">
        <v>57206</v>
      </c>
      <c r="I7" s="281">
        <f t="shared" si="3"/>
        <v>1081464</v>
      </c>
      <c r="J7" s="183">
        <f t="shared" si="4"/>
        <v>94.98</v>
      </c>
    </row>
    <row r="8" spans="2:10" ht="31.5" customHeight="1">
      <c r="B8" s="29">
        <v>1921</v>
      </c>
      <c r="C8" s="280">
        <v>1019941</v>
      </c>
      <c r="D8" s="293">
        <f t="shared" si="0"/>
        <v>91.358917101318426</v>
      </c>
      <c r="E8" s="183">
        <v>509334</v>
      </c>
      <c r="F8" s="328">
        <f t="shared" si="1"/>
        <v>510607</v>
      </c>
      <c r="G8" s="281">
        <f t="shared" si="2"/>
        <v>100.24993422783477</v>
      </c>
      <c r="H8" s="293">
        <v>60889</v>
      </c>
      <c r="I8" s="281">
        <f t="shared" si="3"/>
        <v>959052</v>
      </c>
      <c r="J8" s="183">
        <f t="shared" si="4"/>
        <v>94.03</v>
      </c>
    </row>
    <row r="9" spans="2:10" ht="31.5" customHeight="1">
      <c r="B9" s="29">
        <v>1931</v>
      </c>
      <c r="C9" s="280">
        <v>1111721</v>
      </c>
      <c r="D9" s="293">
        <f t="shared" si="0"/>
        <v>99.579903816784324</v>
      </c>
      <c r="E9" s="183">
        <v>557074</v>
      </c>
      <c r="F9" s="328">
        <f t="shared" si="1"/>
        <v>554647</v>
      </c>
      <c r="G9" s="281">
        <f t="shared" si="2"/>
        <v>99.564330771136326</v>
      </c>
      <c r="H9" s="293">
        <v>67242</v>
      </c>
      <c r="I9" s="281">
        <f t="shared" si="3"/>
        <v>1044479</v>
      </c>
      <c r="J9" s="183">
        <f t="shared" si="4"/>
        <v>93.95</v>
      </c>
    </row>
    <row r="10" spans="2:10" ht="31.5" customHeight="1">
      <c r="B10" s="29">
        <v>1941</v>
      </c>
      <c r="C10" s="280">
        <v>1289640</v>
      </c>
      <c r="D10" s="293">
        <f t="shared" si="0"/>
        <v>115.5165973821469</v>
      </c>
      <c r="E10" s="183">
        <v>651881</v>
      </c>
      <c r="F10" s="328">
        <f t="shared" si="1"/>
        <v>637759</v>
      </c>
      <c r="G10" s="281">
        <f t="shared" si="2"/>
        <v>97.83365368832655</v>
      </c>
      <c r="H10" s="293">
        <v>91976</v>
      </c>
      <c r="I10" s="281">
        <f t="shared" si="3"/>
        <v>1197664</v>
      </c>
      <c r="J10" s="183">
        <f t="shared" si="4"/>
        <v>92.87</v>
      </c>
    </row>
    <row r="11" spans="2:10" ht="31.5" customHeight="1">
      <c r="B11" s="29">
        <v>1951</v>
      </c>
      <c r="C11" s="280">
        <v>1319259</v>
      </c>
      <c r="D11" s="293">
        <f t="shared" si="0"/>
        <v>118.16965257418639</v>
      </c>
      <c r="E11" s="183">
        <v>665853</v>
      </c>
      <c r="F11" s="328">
        <f t="shared" si="1"/>
        <v>653406</v>
      </c>
      <c r="G11" s="281">
        <f t="shared" si="2"/>
        <v>98.130668480880914</v>
      </c>
      <c r="H11" s="293">
        <v>94618</v>
      </c>
      <c r="I11" s="281">
        <f t="shared" si="3"/>
        <v>1224641</v>
      </c>
      <c r="J11" s="183">
        <f t="shared" si="4"/>
        <v>92.83</v>
      </c>
    </row>
    <row r="12" spans="2:10" ht="31.5" customHeight="1">
      <c r="B12" s="29">
        <v>1961</v>
      </c>
      <c r="C12" s="280">
        <v>1664513</v>
      </c>
      <c r="D12" s="293">
        <f t="shared" si="0"/>
        <v>149.09500175114721</v>
      </c>
      <c r="E12" s="183">
        <v>840423</v>
      </c>
      <c r="F12" s="328">
        <f t="shared" si="1"/>
        <v>824090</v>
      </c>
      <c r="G12" s="281">
        <f t="shared" si="2"/>
        <v>98.056573891956788</v>
      </c>
      <c r="H12" s="293">
        <v>122157</v>
      </c>
      <c r="I12" s="281">
        <f t="shared" si="3"/>
        <v>1542356</v>
      </c>
      <c r="J12" s="183">
        <f t="shared" si="4"/>
        <v>92.66</v>
      </c>
    </row>
    <row r="13" spans="2:10" ht="31.5" customHeight="1">
      <c r="B13" s="29">
        <v>1971</v>
      </c>
      <c r="C13" s="280">
        <v>2031039</v>
      </c>
      <c r="D13" s="293">
        <f t="shared" si="0"/>
        <v>181.92574240131992</v>
      </c>
      <c r="E13" s="183">
        <v>1037267</v>
      </c>
      <c r="F13" s="328">
        <f t="shared" si="1"/>
        <v>993772</v>
      </c>
      <c r="G13" s="281">
        <f t="shared" si="2"/>
        <v>95.80676913465868</v>
      </c>
      <c r="H13" s="293">
        <v>151735</v>
      </c>
      <c r="I13" s="281">
        <f t="shared" si="3"/>
        <v>1879304</v>
      </c>
      <c r="J13" s="183">
        <f t="shared" si="4"/>
        <v>92.53</v>
      </c>
    </row>
    <row r="14" spans="2:10" ht="31.5" customHeight="1">
      <c r="B14" s="29">
        <v>1981</v>
      </c>
      <c r="C14" s="280">
        <v>2374815</v>
      </c>
      <c r="D14" s="293">
        <f t="shared" si="0"/>
        <v>212.7187030582823</v>
      </c>
      <c r="E14" s="183">
        <v>1208867</v>
      </c>
      <c r="F14" s="328">
        <f t="shared" si="1"/>
        <v>1165948</v>
      </c>
      <c r="G14" s="281">
        <f t="shared" si="2"/>
        <v>96.449650788713726</v>
      </c>
      <c r="H14" s="293">
        <v>181247</v>
      </c>
      <c r="I14" s="281">
        <f t="shared" si="3"/>
        <v>2193568</v>
      </c>
      <c r="J14" s="183">
        <f t="shared" si="4"/>
        <v>92.37</v>
      </c>
    </row>
    <row r="15" spans="2:10" ht="31.5" customHeight="1">
      <c r="B15" s="29">
        <v>1991</v>
      </c>
      <c r="C15" s="280">
        <v>2805065</v>
      </c>
      <c r="D15" s="293">
        <f t="shared" si="0"/>
        <v>251.25737743537101</v>
      </c>
      <c r="E15" s="183">
        <v>1437515</v>
      </c>
      <c r="F15" s="328">
        <f t="shared" si="1"/>
        <v>1367550</v>
      </c>
      <c r="G15" s="281">
        <f t="shared" si="2"/>
        <v>95.132920352135457</v>
      </c>
      <c r="H15" s="293">
        <v>232478</v>
      </c>
      <c r="I15" s="281">
        <f t="shared" si="3"/>
        <v>2572587</v>
      </c>
      <c r="J15" s="183">
        <f t="shared" si="4"/>
        <v>91.71</v>
      </c>
    </row>
    <row r="16" spans="2:10" ht="31.5" customHeight="1">
      <c r="B16" s="29">
        <v>2001</v>
      </c>
      <c r="C16" s="280">
        <v>3192695</v>
      </c>
      <c r="D16" s="293">
        <f t="shared" si="0"/>
        <v>285.97846133726739</v>
      </c>
      <c r="E16" s="280">
        <v>1636002</v>
      </c>
      <c r="F16" s="328">
        <f t="shared" si="1"/>
        <v>1556693</v>
      </c>
      <c r="G16" s="281">
        <f t="shared" si="2"/>
        <v>95.152267540015231</v>
      </c>
      <c r="H16" s="824">
        <v>235248</v>
      </c>
      <c r="I16" s="281">
        <f t="shared" si="3"/>
        <v>2957447</v>
      </c>
      <c r="J16" s="183">
        <f t="shared" si="4"/>
        <v>92.63</v>
      </c>
    </row>
    <row r="17" spans="2:10" ht="30" customHeight="1">
      <c r="B17" s="247">
        <v>2011</v>
      </c>
      <c r="C17" s="903">
        <v>3596674</v>
      </c>
      <c r="D17" s="295">
        <f t="shared" si="0"/>
        <v>322.16397007911957</v>
      </c>
      <c r="E17" s="903">
        <v>1838095</v>
      </c>
      <c r="F17" s="194">
        <f t="shared" si="1"/>
        <v>1758579</v>
      </c>
      <c r="G17" s="283">
        <f t="shared" si="2"/>
        <v>95.673999439637242</v>
      </c>
      <c r="H17" s="227">
        <v>299773</v>
      </c>
      <c r="I17" s="248">
        <f t="shared" si="3"/>
        <v>3296901</v>
      </c>
      <c r="J17" s="248">
        <f t="shared" si="4"/>
        <v>91.67</v>
      </c>
    </row>
    <row r="18" spans="2:10" ht="14.25" customHeight="1">
      <c r="J18" s="721" t="s">
        <v>37</v>
      </c>
    </row>
    <row r="19" spans="2:10" ht="15.75" customHeight="1"/>
    <row r="20" spans="2:10" ht="20.25" customHeight="1"/>
    <row r="21" spans="2:10" ht="14.1" customHeight="1"/>
    <row r="22" spans="2:10" ht="18" customHeight="1"/>
    <row r="23" spans="2:10" ht="18" customHeight="1"/>
    <row r="24" spans="2:10" ht="18" customHeight="1"/>
    <row r="25" spans="2:10" ht="18" customHeight="1"/>
    <row r="26" spans="2:10" ht="18" customHeight="1"/>
    <row r="27" spans="2:10" ht="18" customHeight="1"/>
    <row r="28" spans="2:10" ht="18" customHeight="1"/>
    <row r="29" spans="2:10" ht="18" customHeight="1"/>
    <row r="30" spans="2:10" ht="18" customHeight="1"/>
    <row r="31" spans="2:10" ht="18" customHeight="1"/>
    <row r="32" spans="2:10"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4.1" customHeight="1"/>
  </sheetData>
  <mergeCells count="2">
    <mergeCell ref="B1:J1"/>
    <mergeCell ref="B2:J2"/>
  </mergeCells>
  <phoneticPr fontId="0" type="noConversion"/>
  <printOptions horizontalCentered="1"/>
  <pageMargins left="0.1" right="0.1" top="0.62" bottom="0.1" header="0.19" footer="0.16"/>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sheetPr codeName="Sheet8"/>
  <dimension ref="A1:K36"/>
  <sheetViews>
    <sheetView topLeftCell="B19" workbookViewId="0">
      <selection activeCell="M30" sqref="M30"/>
    </sheetView>
  </sheetViews>
  <sheetFormatPr defaultRowHeight="12.75"/>
  <cols>
    <col min="1" max="1" width="3.28515625" style="172" hidden="1" customWidth="1"/>
    <col min="2" max="2" width="23.7109375" style="172" customWidth="1"/>
    <col min="3" max="11" width="12" style="172" customWidth="1"/>
    <col min="12" max="16384" width="9.140625" style="172"/>
  </cols>
  <sheetData>
    <row r="1" spans="2:11" ht="14.25" customHeight="1">
      <c r="B1" s="1181" t="s">
        <v>1603</v>
      </c>
      <c r="C1" s="1181"/>
      <c r="D1" s="1181"/>
      <c r="E1" s="1181"/>
      <c r="F1" s="1181"/>
      <c r="G1" s="1181"/>
      <c r="H1" s="1181"/>
      <c r="I1" s="1181"/>
      <c r="J1" s="1181"/>
      <c r="K1" s="1181"/>
    </row>
    <row r="2" spans="2:11" s="206" customFormat="1" ht="17.25" customHeight="1">
      <c r="B2" s="1189" t="str">
        <f>CONCATENATE("Distribution of Rural and Urban Population by sex in the district of ",District!$A$1,", 2001")</f>
        <v>Distribution of Rural and Urban Population by sex in the district of Bankura, 2001</v>
      </c>
      <c r="C2" s="1189"/>
      <c r="D2" s="1189"/>
      <c r="E2" s="1189"/>
      <c r="F2" s="1189"/>
      <c r="G2" s="1189"/>
      <c r="H2" s="1189"/>
      <c r="I2" s="1189"/>
      <c r="J2" s="1189"/>
      <c r="K2" s="1189"/>
    </row>
    <row r="3" spans="2:11">
      <c r="B3" s="259"/>
      <c r="C3" s="299"/>
      <c r="D3" s="299"/>
      <c r="E3" s="299"/>
      <c r="F3" s="299"/>
      <c r="G3" s="299"/>
      <c r="H3" s="299"/>
      <c r="I3" s="299"/>
      <c r="J3" s="299"/>
      <c r="K3" s="113" t="s">
        <v>452</v>
      </c>
    </row>
    <row r="4" spans="2:11" ht="13.5" customHeight="1">
      <c r="B4" s="1194" t="s">
        <v>482</v>
      </c>
      <c r="C4" s="1196" t="s">
        <v>1251</v>
      </c>
      <c r="D4" s="1196"/>
      <c r="E4" s="1196"/>
      <c r="F4" s="1196" t="s">
        <v>1252</v>
      </c>
      <c r="G4" s="1196"/>
      <c r="H4" s="1196"/>
      <c r="I4" s="1196" t="s">
        <v>75</v>
      </c>
      <c r="J4" s="1196"/>
      <c r="K4" s="1196"/>
    </row>
    <row r="5" spans="2:11" ht="13.5" customHeight="1">
      <c r="B5" s="1195"/>
      <c r="C5" s="230" t="s">
        <v>531</v>
      </c>
      <c r="D5" s="212" t="s">
        <v>532</v>
      </c>
      <c r="E5" s="231" t="s">
        <v>439</v>
      </c>
      <c r="F5" s="230" t="s">
        <v>531</v>
      </c>
      <c r="G5" s="212" t="s">
        <v>532</v>
      </c>
      <c r="H5" s="231" t="s">
        <v>439</v>
      </c>
      <c r="I5" s="230" t="s">
        <v>531</v>
      </c>
      <c r="J5" s="212" t="s">
        <v>532</v>
      </c>
      <c r="K5" s="231" t="s">
        <v>439</v>
      </c>
    </row>
    <row r="6" spans="2:11" ht="13.5" customHeight="1">
      <c r="B6" s="297" t="s">
        <v>418</v>
      </c>
      <c r="C6" s="221" t="s">
        <v>419</v>
      </c>
      <c r="D6" s="213" t="s">
        <v>420</v>
      </c>
      <c r="E6" s="214" t="s">
        <v>421</v>
      </c>
      <c r="F6" s="221" t="s">
        <v>422</v>
      </c>
      <c r="G6" s="213" t="s">
        <v>423</v>
      </c>
      <c r="H6" s="214" t="s">
        <v>424</v>
      </c>
      <c r="I6" s="221" t="s">
        <v>440</v>
      </c>
      <c r="J6" s="213" t="s">
        <v>441</v>
      </c>
      <c r="K6" s="214" t="s">
        <v>442</v>
      </c>
    </row>
    <row r="7" spans="2:11" ht="15" customHeight="1">
      <c r="B7" s="300" t="s">
        <v>717</v>
      </c>
      <c r="C7" s="73">
        <f>SUM(C8:C16)</f>
        <v>579332</v>
      </c>
      <c r="D7" s="34">
        <f>SUM(D8:D16)</f>
        <v>551233</v>
      </c>
      <c r="E7" s="28">
        <f t="shared" ref="E7:E35" si="0">IF(SUM(C7:D7)=0,"-",SUM(C7:D7))</f>
        <v>1130565</v>
      </c>
      <c r="F7" s="11">
        <f>SUM(F8:F16)</f>
        <v>75303</v>
      </c>
      <c r="G7" s="34">
        <f>SUM(G8:G16)</f>
        <v>70644</v>
      </c>
      <c r="H7" s="28">
        <f t="shared" ref="H7:H35" si="1">IF(SUM(F7:G7)=0,"-",SUM(F7:G7))</f>
        <v>145947</v>
      </c>
      <c r="I7" s="73">
        <f t="shared" ref="I7:J35" si="2">IF(SUM(C7,F7)=0,"-",SUM(C7,F7))</f>
        <v>654635</v>
      </c>
      <c r="J7" s="34">
        <f t="shared" si="2"/>
        <v>621877</v>
      </c>
      <c r="K7" s="28">
        <f t="shared" ref="K7:K35" si="3">IF(SUM(I7:J7)=0,"-",SUM(I7:J7))</f>
        <v>1276512</v>
      </c>
    </row>
    <row r="8" spans="2:11" ht="15" customHeight="1">
      <c r="B8" s="301" t="s">
        <v>596</v>
      </c>
      <c r="C8" s="302">
        <v>49083</v>
      </c>
      <c r="D8" s="183">
        <v>46757</v>
      </c>
      <c r="E8" s="184">
        <f t="shared" si="0"/>
        <v>95840</v>
      </c>
      <c r="F8" s="302" t="s">
        <v>1127</v>
      </c>
      <c r="G8" s="183" t="s">
        <v>1127</v>
      </c>
      <c r="H8" s="184" t="str">
        <f t="shared" si="1"/>
        <v>-</v>
      </c>
      <c r="I8" s="29">
        <f t="shared" si="2"/>
        <v>49083</v>
      </c>
      <c r="J8" s="33">
        <f t="shared" si="2"/>
        <v>46757</v>
      </c>
      <c r="K8" s="39">
        <f t="shared" si="3"/>
        <v>95840</v>
      </c>
    </row>
    <row r="9" spans="2:11" ht="15" customHeight="1">
      <c r="B9" s="301" t="s">
        <v>365</v>
      </c>
      <c r="C9" s="302" t="s">
        <v>1127</v>
      </c>
      <c r="D9" s="183" t="s">
        <v>1127</v>
      </c>
      <c r="E9" s="184" t="str">
        <f t="shared" si="0"/>
        <v>-</v>
      </c>
      <c r="F9" s="302">
        <v>66429</v>
      </c>
      <c r="G9" s="183">
        <v>62352</v>
      </c>
      <c r="H9" s="184">
        <f t="shared" si="1"/>
        <v>128781</v>
      </c>
      <c r="I9" s="29">
        <f t="shared" si="2"/>
        <v>66429</v>
      </c>
      <c r="J9" s="33">
        <f t="shared" si="2"/>
        <v>62352</v>
      </c>
      <c r="K9" s="39">
        <f t="shared" si="3"/>
        <v>128781</v>
      </c>
    </row>
    <row r="10" spans="2:11" ht="15" customHeight="1">
      <c r="B10" s="301" t="s">
        <v>595</v>
      </c>
      <c r="C10" s="302">
        <v>63330</v>
      </c>
      <c r="D10" s="183">
        <v>60085</v>
      </c>
      <c r="E10" s="184">
        <f t="shared" si="0"/>
        <v>123415</v>
      </c>
      <c r="F10" s="302" t="s">
        <v>1127</v>
      </c>
      <c r="G10" s="183" t="s">
        <v>1127</v>
      </c>
      <c r="H10" s="184" t="str">
        <f t="shared" si="1"/>
        <v>-</v>
      </c>
      <c r="I10" s="29">
        <f t="shared" si="2"/>
        <v>63330</v>
      </c>
      <c r="J10" s="33">
        <f t="shared" si="2"/>
        <v>60085</v>
      </c>
      <c r="K10" s="39">
        <f t="shared" si="3"/>
        <v>123415</v>
      </c>
    </row>
    <row r="11" spans="2:11" ht="15" customHeight="1">
      <c r="B11" s="301" t="s">
        <v>597</v>
      </c>
      <c r="C11" s="302">
        <v>85669</v>
      </c>
      <c r="D11" s="183">
        <v>83546</v>
      </c>
      <c r="E11" s="184">
        <f t="shared" si="0"/>
        <v>169215</v>
      </c>
      <c r="F11" s="302" t="s">
        <v>1127</v>
      </c>
      <c r="G11" s="183" t="s">
        <v>1127</v>
      </c>
      <c r="H11" s="184" t="str">
        <f t="shared" si="1"/>
        <v>-</v>
      </c>
      <c r="I11" s="29">
        <f t="shared" si="2"/>
        <v>85669</v>
      </c>
      <c r="J11" s="33">
        <f t="shared" si="2"/>
        <v>83546</v>
      </c>
      <c r="K11" s="39">
        <f t="shared" si="3"/>
        <v>169215</v>
      </c>
    </row>
    <row r="12" spans="2:11" ht="15" customHeight="1">
      <c r="B12" s="301" t="s">
        <v>598</v>
      </c>
      <c r="C12" s="302">
        <v>62239</v>
      </c>
      <c r="D12" s="183">
        <v>59313</v>
      </c>
      <c r="E12" s="184">
        <f t="shared" si="0"/>
        <v>121552</v>
      </c>
      <c r="F12" s="302" t="s">
        <v>1127</v>
      </c>
      <c r="G12" s="183" t="s">
        <v>1127</v>
      </c>
      <c r="H12" s="184" t="str">
        <f t="shared" si="1"/>
        <v>-</v>
      </c>
      <c r="I12" s="29">
        <f t="shared" si="2"/>
        <v>62239</v>
      </c>
      <c r="J12" s="33">
        <f t="shared" si="2"/>
        <v>59313</v>
      </c>
      <c r="K12" s="39">
        <f t="shared" si="3"/>
        <v>121552</v>
      </c>
    </row>
    <row r="13" spans="2:11" ht="15" customHeight="1">
      <c r="B13" s="301" t="s">
        <v>599</v>
      </c>
      <c r="C13" s="302">
        <v>39525</v>
      </c>
      <c r="D13" s="183">
        <v>36598</v>
      </c>
      <c r="E13" s="184">
        <f t="shared" si="0"/>
        <v>76123</v>
      </c>
      <c r="F13" s="302" t="s">
        <v>1127</v>
      </c>
      <c r="G13" s="183" t="s">
        <v>1127</v>
      </c>
      <c r="H13" s="184" t="str">
        <f t="shared" si="1"/>
        <v>-</v>
      </c>
      <c r="I13" s="29">
        <f t="shared" si="2"/>
        <v>39525</v>
      </c>
      <c r="J13" s="33">
        <f t="shared" si="2"/>
        <v>36598</v>
      </c>
      <c r="K13" s="39">
        <f t="shared" si="3"/>
        <v>76123</v>
      </c>
    </row>
    <row r="14" spans="2:11" ht="15" customHeight="1">
      <c r="B14" s="301" t="s">
        <v>771</v>
      </c>
      <c r="C14" s="302">
        <v>83117</v>
      </c>
      <c r="D14" s="183">
        <v>78890</v>
      </c>
      <c r="E14" s="184">
        <f t="shared" si="0"/>
        <v>162007</v>
      </c>
      <c r="F14" s="302" t="s">
        <v>1127</v>
      </c>
      <c r="G14" s="183" t="s">
        <v>1127</v>
      </c>
      <c r="H14" s="184" t="str">
        <f t="shared" si="1"/>
        <v>-</v>
      </c>
      <c r="I14" s="29">
        <f t="shared" si="2"/>
        <v>83117</v>
      </c>
      <c r="J14" s="33">
        <f t="shared" si="2"/>
        <v>78890</v>
      </c>
      <c r="K14" s="39">
        <f t="shared" si="3"/>
        <v>162007</v>
      </c>
    </row>
    <row r="15" spans="2:11" ht="15" customHeight="1">
      <c r="B15" s="301" t="s">
        <v>600</v>
      </c>
      <c r="C15" s="302">
        <v>83494</v>
      </c>
      <c r="D15" s="183">
        <v>78347</v>
      </c>
      <c r="E15" s="184">
        <f t="shared" si="0"/>
        <v>161841</v>
      </c>
      <c r="F15" s="302">
        <v>8874</v>
      </c>
      <c r="G15" s="183">
        <v>8292</v>
      </c>
      <c r="H15" s="184">
        <f t="shared" si="1"/>
        <v>17166</v>
      </c>
      <c r="I15" s="29">
        <f t="shared" si="2"/>
        <v>92368</v>
      </c>
      <c r="J15" s="33">
        <f t="shared" si="2"/>
        <v>86639</v>
      </c>
      <c r="K15" s="39">
        <f t="shared" si="3"/>
        <v>179007</v>
      </c>
    </row>
    <row r="16" spans="2:11" ht="15" customHeight="1">
      <c r="B16" s="301" t="s">
        <v>602</v>
      </c>
      <c r="C16" s="302">
        <v>112875</v>
      </c>
      <c r="D16" s="183">
        <v>107697</v>
      </c>
      <c r="E16" s="184">
        <f t="shared" si="0"/>
        <v>220572</v>
      </c>
      <c r="F16" s="302" t="s">
        <v>1127</v>
      </c>
      <c r="G16" s="183" t="s">
        <v>1127</v>
      </c>
      <c r="H16" s="184" t="str">
        <f t="shared" si="1"/>
        <v>-</v>
      </c>
      <c r="I16" s="29">
        <f t="shared" si="2"/>
        <v>112875</v>
      </c>
      <c r="J16" s="33">
        <f t="shared" si="2"/>
        <v>107697</v>
      </c>
      <c r="K16" s="39">
        <f t="shared" si="3"/>
        <v>220572</v>
      </c>
    </row>
    <row r="17" spans="2:11" ht="15" customHeight="1">
      <c r="B17" s="303" t="s">
        <v>366</v>
      </c>
      <c r="C17" s="73">
        <f>SUM(C18:C25)</f>
        <v>471043</v>
      </c>
      <c r="D17" s="34">
        <f>SUM(D18:D25)</f>
        <v>448792</v>
      </c>
      <c r="E17" s="28">
        <f t="shared" si="0"/>
        <v>919835</v>
      </c>
      <c r="F17" s="11" t="str">
        <f>IF(SUM(F18:F25)=0,"-",SUM(F18:F25))</f>
        <v>-</v>
      </c>
      <c r="G17" s="34" t="str">
        <f>IF(SUM(G18:G25)=0,"-",SUM(G18:G25))</f>
        <v>-</v>
      </c>
      <c r="H17" s="28" t="str">
        <f t="shared" si="1"/>
        <v>-</v>
      </c>
      <c r="I17" s="73">
        <f t="shared" si="2"/>
        <v>471043</v>
      </c>
      <c r="J17" s="34">
        <f t="shared" si="2"/>
        <v>448792</v>
      </c>
      <c r="K17" s="28">
        <f t="shared" si="3"/>
        <v>919835</v>
      </c>
    </row>
    <row r="18" spans="2:11" ht="15" customHeight="1">
      <c r="B18" s="301" t="s">
        <v>605</v>
      </c>
      <c r="C18" s="302">
        <v>70990</v>
      </c>
      <c r="D18" s="183">
        <v>66835</v>
      </c>
      <c r="E18" s="184">
        <f t="shared" si="0"/>
        <v>137825</v>
      </c>
      <c r="F18" s="302" t="s">
        <v>1127</v>
      </c>
      <c r="G18" s="183" t="s">
        <v>1127</v>
      </c>
      <c r="H18" s="184" t="str">
        <f t="shared" si="1"/>
        <v>-</v>
      </c>
      <c r="I18" s="29">
        <f t="shared" si="2"/>
        <v>70990</v>
      </c>
      <c r="J18" s="33">
        <f t="shared" si="2"/>
        <v>66835</v>
      </c>
      <c r="K18" s="39">
        <f t="shared" si="3"/>
        <v>137825</v>
      </c>
    </row>
    <row r="19" spans="2:11" ht="15" customHeight="1">
      <c r="B19" s="301" t="s">
        <v>604</v>
      </c>
      <c r="C19" s="302">
        <v>52563</v>
      </c>
      <c r="D19" s="183">
        <v>50006</v>
      </c>
      <c r="E19" s="184">
        <f t="shared" si="0"/>
        <v>102569</v>
      </c>
      <c r="F19" s="302" t="s">
        <v>1127</v>
      </c>
      <c r="G19" s="183" t="s">
        <v>1127</v>
      </c>
      <c r="H19" s="184" t="str">
        <f t="shared" si="1"/>
        <v>-</v>
      </c>
      <c r="I19" s="29">
        <f t="shared" si="2"/>
        <v>52563</v>
      </c>
      <c r="J19" s="33">
        <f t="shared" si="2"/>
        <v>50006</v>
      </c>
      <c r="K19" s="39">
        <f t="shared" si="3"/>
        <v>102569</v>
      </c>
    </row>
    <row r="20" spans="2:11" ht="15" customHeight="1">
      <c r="B20" s="301" t="s">
        <v>368</v>
      </c>
      <c r="C20" s="302">
        <v>37301</v>
      </c>
      <c r="D20" s="183">
        <v>35201</v>
      </c>
      <c r="E20" s="184">
        <f t="shared" si="0"/>
        <v>72502</v>
      </c>
      <c r="F20" s="302" t="s">
        <v>1127</v>
      </c>
      <c r="G20" s="183" t="s">
        <v>1127</v>
      </c>
      <c r="H20" s="184" t="str">
        <f t="shared" si="1"/>
        <v>-</v>
      </c>
      <c r="I20" s="29">
        <f t="shared" si="2"/>
        <v>37301</v>
      </c>
      <c r="J20" s="33">
        <f t="shared" si="2"/>
        <v>35201</v>
      </c>
      <c r="K20" s="39">
        <f t="shared" si="3"/>
        <v>72502</v>
      </c>
    </row>
    <row r="21" spans="2:11" ht="15" customHeight="1">
      <c r="B21" s="301" t="s">
        <v>606</v>
      </c>
      <c r="C21" s="302">
        <v>53168</v>
      </c>
      <c r="D21" s="183">
        <v>51158</v>
      </c>
      <c r="E21" s="184">
        <f t="shared" si="0"/>
        <v>104326</v>
      </c>
      <c r="F21" s="302" t="s">
        <v>1127</v>
      </c>
      <c r="G21" s="183" t="s">
        <v>1127</v>
      </c>
      <c r="H21" s="184" t="str">
        <f t="shared" si="1"/>
        <v>-</v>
      </c>
      <c r="I21" s="29">
        <f t="shared" si="2"/>
        <v>53168</v>
      </c>
      <c r="J21" s="33">
        <f t="shared" si="2"/>
        <v>51158</v>
      </c>
      <c r="K21" s="39">
        <f t="shared" si="3"/>
        <v>104326</v>
      </c>
    </row>
    <row r="22" spans="2:11" ht="15" customHeight="1">
      <c r="B22" s="301" t="s">
        <v>347</v>
      </c>
      <c r="C22" s="302">
        <v>65713</v>
      </c>
      <c r="D22" s="183">
        <v>63034</v>
      </c>
      <c r="E22" s="184">
        <f t="shared" si="0"/>
        <v>128747</v>
      </c>
      <c r="F22" s="302" t="s">
        <v>1127</v>
      </c>
      <c r="G22" s="183" t="s">
        <v>1127</v>
      </c>
      <c r="H22" s="184" t="str">
        <f t="shared" si="1"/>
        <v>-</v>
      </c>
      <c r="I22" s="29">
        <f t="shared" si="2"/>
        <v>65713</v>
      </c>
      <c r="J22" s="33">
        <f t="shared" si="2"/>
        <v>63034</v>
      </c>
      <c r="K22" s="39">
        <f t="shared" si="3"/>
        <v>128747</v>
      </c>
    </row>
    <row r="23" spans="2:11" ht="15" customHeight="1">
      <c r="B23" s="301" t="s">
        <v>369</v>
      </c>
      <c r="C23" s="302">
        <v>65297</v>
      </c>
      <c r="D23" s="183">
        <v>62148</v>
      </c>
      <c r="E23" s="184">
        <f t="shared" si="0"/>
        <v>127445</v>
      </c>
      <c r="F23" s="302" t="s">
        <v>1127</v>
      </c>
      <c r="G23" s="183" t="s">
        <v>1127</v>
      </c>
      <c r="H23" s="184" t="str">
        <f t="shared" si="1"/>
        <v>-</v>
      </c>
      <c r="I23" s="29">
        <f t="shared" si="2"/>
        <v>65297</v>
      </c>
      <c r="J23" s="33">
        <f t="shared" si="2"/>
        <v>62148</v>
      </c>
      <c r="K23" s="39">
        <f t="shared" si="3"/>
        <v>127445</v>
      </c>
    </row>
    <row r="24" spans="2:11" ht="15" customHeight="1">
      <c r="B24" s="301" t="s">
        <v>349</v>
      </c>
      <c r="C24" s="302">
        <v>77252</v>
      </c>
      <c r="D24" s="183">
        <v>74041</v>
      </c>
      <c r="E24" s="184">
        <f t="shared" si="0"/>
        <v>151293</v>
      </c>
      <c r="F24" s="302" t="s">
        <v>1127</v>
      </c>
      <c r="G24" s="183" t="s">
        <v>1127</v>
      </c>
      <c r="H24" s="184" t="str">
        <f t="shared" si="1"/>
        <v>-</v>
      </c>
      <c r="I24" s="29">
        <f t="shared" si="2"/>
        <v>77252</v>
      </c>
      <c r="J24" s="33">
        <f t="shared" si="2"/>
        <v>74041</v>
      </c>
      <c r="K24" s="39">
        <f t="shared" si="3"/>
        <v>151293</v>
      </c>
    </row>
    <row r="25" spans="2:11" ht="15" customHeight="1">
      <c r="B25" s="304" t="s">
        <v>370</v>
      </c>
      <c r="C25" s="302">
        <v>48759</v>
      </c>
      <c r="D25" s="183">
        <v>46369</v>
      </c>
      <c r="E25" s="184">
        <f t="shared" si="0"/>
        <v>95128</v>
      </c>
      <c r="F25" s="302" t="s">
        <v>1127</v>
      </c>
      <c r="G25" s="183" t="s">
        <v>1127</v>
      </c>
      <c r="H25" s="184" t="str">
        <f t="shared" si="1"/>
        <v>-</v>
      </c>
      <c r="I25" s="29">
        <f t="shared" si="2"/>
        <v>48759</v>
      </c>
      <c r="J25" s="33">
        <f t="shared" si="2"/>
        <v>46369</v>
      </c>
      <c r="K25" s="39">
        <f t="shared" si="3"/>
        <v>95128</v>
      </c>
    </row>
    <row r="26" spans="2:11" ht="15" customHeight="1">
      <c r="B26" s="303" t="s">
        <v>371</v>
      </c>
      <c r="C26" s="64">
        <f>SUM(C27:C34)</f>
        <v>465075</v>
      </c>
      <c r="D26" s="43">
        <f>SUM(D27:D34)</f>
        <v>441972</v>
      </c>
      <c r="E26" s="28">
        <f t="shared" si="0"/>
        <v>907047</v>
      </c>
      <c r="F26" s="64">
        <f>SUM(F27:F34)</f>
        <v>45249</v>
      </c>
      <c r="G26" s="43">
        <f>SUM(G27:G34)</f>
        <v>44052</v>
      </c>
      <c r="H26" s="28">
        <f t="shared" si="1"/>
        <v>89301</v>
      </c>
      <c r="I26" s="73">
        <f t="shared" si="2"/>
        <v>510324</v>
      </c>
      <c r="J26" s="34">
        <f t="shared" si="2"/>
        <v>486024</v>
      </c>
      <c r="K26" s="28">
        <f t="shared" si="3"/>
        <v>996348</v>
      </c>
    </row>
    <row r="27" spans="2:11" ht="15" customHeight="1">
      <c r="B27" s="304" t="s">
        <v>350</v>
      </c>
      <c r="C27" s="302">
        <v>71200</v>
      </c>
      <c r="D27" s="183">
        <v>67568</v>
      </c>
      <c r="E27" s="184">
        <f t="shared" si="0"/>
        <v>138768</v>
      </c>
      <c r="F27" s="302" t="s">
        <v>1127</v>
      </c>
      <c r="G27" s="183" t="s">
        <v>1127</v>
      </c>
      <c r="H27" s="184" t="str">
        <f t="shared" si="1"/>
        <v>-</v>
      </c>
      <c r="I27" s="29">
        <f t="shared" si="2"/>
        <v>71200</v>
      </c>
      <c r="J27" s="33">
        <f t="shared" si="2"/>
        <v>67568</v>
      </c>
      <c r="K27" s="39">
        <f t="shared" si="3"/>
        <v>138768</v>
      </c>
    </row>
    <row r="28" spans="2:11" ht="15" customHeight="1">
      <c r="B28" s="304" t="s">
        <v>356</v>
      </c>
      <c r="C28" s="302" t="s">
        <v>1127</v>
      </c>
      <c r="D28" s="183" t="s">
        <v>1127</v>
      </c>
      <c r="E28" s="184" t="str">
        <f t="shared" si="0"/>
        <v>-</v>
      </c>
      <c r="F28" s="302">
        <v>31223</v>
      </c>
      <c r="G28" s="183">
        <v>30724</v>
      </c>
      <c r="H28" s="184">
        <f t="shared" si="1"/>
        <v>61947</v>
      </c>
      <c r="I28" s="29">
        <f t="shared" si="2"/>
        <v>31223</v>
      </c>
      <c r="J28" s="33">
        <f t="shared" si="2"/>
        <v>30724</v>
      </c>
      <c r="K28" s="39">
        <f t="shared" si="3"/>
        <v>61947</v>
      </c>
    </row>
    <row r="29" spans="2:11" ht="15" customHeight="1">
      <c r="B29" s="304" t="s">
        <v>351</v>
      </c>
      <c r="C29" s="302">
        <v>72348</v>
      </c>
      <c r="D29" s="183">
        <v>69149</v>
      </c>
      <c r="E29" s="184">
        <f t="shared" si="0"/>
        <v>141497</v>
      </c>
      <c r="F29" s="302" t="s">
        <v>1127</v>
      </c>
      <c r="G29" s="183" t="s">
        <v>1127</v>
      </c>
      <c r="H29" s="184" t="str">
        <f t="shared" si="1"/>
        <v>-</v>
      </c>
      <c r="I29" s="29">
        <f t="shared" si="2"/>
        <v>72348</v>
      </c>
      <c r="J29" s="33">
        <f t="shared" si="2"/>
        <v>69149</v>
      </c>
      <c r="K29" s="39">
        <f t="shared" si="3"/>
        <v>141497</v>
      </c>
    </row>
    <row r="30" spans="2:11" ht="15" customHeight="1">
      <c r="B30" s="304" t="s">
        <v>352</v>
      </c>
      <c r="C30" s="302">
        <v>86385</v>
      </c>
      <c r="D30" s="183">
        <v>81162</v>
      </c>
      <c r="E30" s="184">
        <f t="shared" si="0"/>
        <v>167547</v>
      </c>
      <c r="F30" s="302" t="s">
        <v>1127</v>
      </c>
      <c r="G30" s="183" t="s">
        <v>1127</v>
      </c>
      <c r="H30" s="184" t="str">
        <f t="shared" si="1"/>
        <v>-</v>
      </c>
      <c r="I30" s="29">
        <f t="shared" si="2"/>
        <v>86385</v>
      </c>
      <c r="J30" s="33">
        <f t="shared" si="2"/>
        <v>81162</v>
      </c>
      <c r="K30" s="39">
        <f t="shared" si="3"/>
        <v>167547</v>
      </c>
    </row>
    <row r="31" spans="2:11" ht="15" customHeight="1">
      <c r="B31" s="304" t="s">
        <v>353</v>
      </c>
      <c r="C31" s="302">
        <v>73221</v>
      </c>
      <c r="D31" s="183">
        <v>69107</v>
      </c>
      <c r="E31" s="184">
        <f t="shared" si="0"/>
        <v>142328</v>
      </c>
      <c r="F31" s="302" t="s">
        <v>1127</v>
      </c>
      <c r="G31" s="183" t="s">
        <v>1127</v>
      </c>
      <c r="H31" s="184" t="str">
        <f t="shared" si="1"/>
        <v>-</v>
      </c>
      <c r="I31" s="29">
        <f t="shared" si="2"/>
        <v>73221</v>
      </c>
      <c r="J31" s="33">
        <f t="shared" si="2"/>
        <v>69107</v>
      </c>
      <c r="K31" s="39">
        <f t="shared" si="3"/>
        <v>142328</v>
      </c>
    </row>
    <row r="32" spans="2:11" ht="15" customHeight="1">
      <c r="B32" s="304" t="s">
        <v>362</v>
      </c>
      <c r="C32" s="302" t="s">
        <v>1127</v>
      </c>
      <c r="D32" s="183" t="s">
        <v>1127</v>
      </c>
      <c r="E32" s="184" t="str">
        <f t="shared" si="0"/>
        <v>-</v>
      </c>
      <c r="F32" s="302">
        <v>14026</v>
      </c>
      <c r="G32" s="183">
        <v>13328</v>
      </c>
      <c r="H32" s="184">
        <f t="shared" si="1"/>
        <v>27354</v>
      </c>
      <c r="I32" s="29">
        <f t="shared" si="2"/>
        <v>14026</v>
      </c>
      <c r="J32" s="33">
        <f t="shared" si="2"/>
        <v>13328</v>
      </c>
      <c r="K32" s="39">
        <f t="shared" si="3"/>
        <v>27354</v>
      </c>
    </row>
    <row r="33" spans="2:11" ht="15" customHeight="1">
      <c r="B33" s="304" t="s">
        <v>354</v>
      </c>
      <c r="C33" s="302">
        <v>83517</v>
      </c>
      <c r="D33" s="183">
        <v>80543</v>
      </c>
      <c r="E33" s="184">
        <f t="shared" si="0"/>
        <v>164060</v>
      </c>
      <c r="F33" s="302" t="s">
        <v>1127</v>
      </c>
      <c r="G33" s="183" t="s">
        <v>1127</v>
      </c>
      <c r="H33" s="184" t="str">
        <f t="shared" si="1"/>
        <v>-</v>
      </c>
      <c r="I33" s="29">
        <f t="shared" si="2"/>
        <v>83517</v>
      </c>
      <c r="J33" s="33">
        <f t="shared" si="2"/>
        <v>80543</v>
      </c>
      <c r="K33" s="39">
        <f t="shared" si="3"/>
        <v>164060</v>
      </c>
    </row>
    <row r="34" spans="2:11" ht="15" customHeight="1">
      <c r="B34" s="304" t="s">
        <v>355</v>
      </c>
      <c r="C34" s="302">
        <v>78404</v>
      </c>
      <c r="D34" s="183">
        <v>74443</v>
      </c>
      <c r="E34" s="184">
        <f t="shared" si="0"/>
        <v>152847</v>
      </c>
      <c r="F34" s="302" t="s">
        <v>1127</v>
      </c>
      <c r="G34" s="183" t="s">
        <v>1127</v>
      </c>
      <c r="H34" s="184" t="str">
        <f t="shared" si="1"/>
        <v>-</v>
      </c>
      <c r="I34" s="29">
        <f t="shared" si="2"/>
        <v>78404</v>
      </c>
      <c r="J34" s="33">
        <f t="shared" si="2"/>
        <v>74443</v>
      </c>
      <c r="K34" s="39">
        <f t="shared" si="3"/>
        <v>152847</v>
      </c>
    </row>
    <row r="35" spans="2:11" ht="15" customHeight="1">
      <c r="B35" s="179" t="s">
        <v>1368</v>
      </c>
      <c r="C35" s="209">
        <f>SUM(C26,C17,C7)</f>
        <v>1515450</v>
      </c>
      <c r="D35" s="179">
        <f>SUM(D26,D17,D7)</f>
        <v>1441997</v>
      </c>
      <c r="E35" s="180">
        <f t="shared" si="0"/>
        <v>2957447</v>
      </c>
      <c r="F35" s="209">
        <f>SUM(F26,F17,F7)</f>
        <v>120552</v>
      </c>
      <c r="G35" s="179">
        <f>SUM(G26,G17,G7)</f>
        <v>114696</v>
      </c>
      <c r="H35" s="180">
        <f t="shared" si="1"/>
        <v>235248</v>
      </c>
      <c r="I35" s="209">
        <f t="shared" si="2"/>
        <v>1636002</v>
      </c>
      <c r="J35" s="179">
        <f t="shared" si="2"/>
        <v>1556693</v>
      </c>
      <c r="K35" s="180">
        <f t="shared" si="3"/>
        <v>3192695</v>
      </c>
    </row>
    <row r="36" spans="2:11">
      <c r="B36" s="305"/>
      <c r="C36" s="305"/>
      <c r="D36" s="305"/>
      <c r="E36" s="306"/>
      <c r="F36" s="305"/>
      <c r="G36" s="305"/>
      <c r="H36" s="266"/>
      <c r="I36" s="266"/>
      <c r="J36" s="306"/>
      <c r="K36" s="713" t="s">
        <v>1632</v>
      </c>
    </row>
  </sheetData>
  <mergeCells count="6">
    <mergeCell ref="B1:K1"/>
    <mergeCell ref="B2:K2"/>
    <mergeCell ref="B4:B5"/>
    <mergeCell ref="C4:E4"/>
    <mergeCell ref="F4:H4"/>
    <mergeCell ref="I4:K4"/>
  </mergeCells>
  <phoneticPr fontId="0" type="noConversion"/>
  <printOptions horizontalCentered="1"/>
  <pageMargins left="0.1" right="0.1" top="0.38" bottom="0.1" header="0.28000000000000003" footer="0.16"/>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sheetPr codeName="Sheet12"/>
  <dimension ref="A1:J63"/>
  <sheetViews>
    <sheetView workbookViewId="0">
      <selection activeCell="M30" sqref="M30"/>
    </sheetView>
  </sheetViews>
  <sheetFormatPr defaultRowHeight="12.75"/>
  <cols>
    <col min="1" max="1" width="21.85546875" style="266" customWidth="1"/>
    <col min="2" max="10" width="11.28515625" style="266" customWidth="1"/>
    <col min="11" max="16384" width="9.140625" style="266"/>
  </cols>
  <sheetData>
    <row r="1" spans="1:10" ht="12.75" customHeight="1">
      <c r="A1" s="1181" t="s">
        <v>1602</v>
      </c>
      <c r="B1" s="1181"/>
      <c r="C1" s="1181"/>
      <c r="D1" s="1181"/>
      <c r="E1" s="1181"/>
      <c r="F1" s="1181"/>
      <c r="G1" s="1181"/>
      <c r="H1" s="1181"/>
      <c r="I1" s="1181"/>
      <c r="J1" s="1181"/>
    </row>
    <row r="2" spans="1:10" s="259" customFormat="1" ht="16.5" customHeight="1">
      <c r="A2" s="1189" t="str">
        <f>CONCATENATE("Distribution of Rural and Urban Population by sex in the district of ",District!$A$1,", 2011")</f>
        <v>Distribution of Rural and Urban Population by sex in the district of Bankura, 2011</v>
      </c>
      <c r="B2" s="1189"/>
      <c r="C2" s="1189"/>
      <c r="D2" s="1189"/>
      <c r="E2" s="1189"/>
      <c r="F2" s="1189"/>
      <c r="G2" s="1189"/>
      <c r="H2" s="1189"/>
      <c r="I2" s="1189"/>
      <c r="J2" s="1189"/>
    </row>
    <row r="3" spans="1:10" ht="12" customHeight="1">
      <c r="A3" s="259"/>
      <c r="B3" s="299"/>
      <c r="C3" s="299"/>
      <c r="D3" s="299"/>
      <c r="E3" s="299"/>
      <c r="F3" s="299"/>
      <c r="G3" s="299"/>
      <c r="H3" s="299"/>
      <c r="I3" s="299"/>
      <c r="J3" s="113" t="s">
        <v>452</v>
      </c>
    </row>
    <row r="4" spans="1:10" ht="13.5" customHeight="1">
      <c r="A4" s="1194" t="s">
        <v>482</v>
      </c>
      <c r="B4" s="1196" t="s">
        <v>1251</v>
      </c>
      <c r="C4" s="1196"/>
      <c r="D4" s="1196"/>
      <c r="E4" s="1196" t="s">
        <v>1252</v>
      </c>
      <c r="F4" s="1196"/>
      <c r="G4" s="1196"/>
      <c r="H4" s="1196" t="s">
        <v>75</v>
      </c>
      <c r="I4" s="1196"/>
      <c r="J4" s="1196"/>
    </row>
    <row r="5" spans="1:10" ht="13.5" customHeight="1">
      <c r="A5" s="1195"/>
      <c r="B5" s="230" t="s">
        <v>531</v>
      </c>
      <c r="C5" s="212" t="s">
        <v>532</v>
      </c>
      <c r="D5" s="231" t="s">
        <v>439</v>
      </c>
      <c r="E5" s="230" t="s">
        <v>531</v>
      </c>
      <c r="F5" s="212" t="s">
        <v>532</v>
      </c>
      <c r="G5" s="231" t="s">
        <v>439</v>
      </c>
      <c r="H5" s="230" t="s">
        <v>531</v>
      </c>
      <c r="I5" s="212" t="s">
        <v>532</v>
      </c>
      <c r="J5" s="231" t="s">
        <v>439</v>
      </c>
    </row>
    <row r="6" spans="1:10" ht="13.5" customHeight="1">
      <c r="A6" s="297" t="s">
        <v>418</v>
      </c>
      <c r="B6" s="221" t="s">
        <v>419</v>
      </c>
      <c r="C6" s="213" t="s">
        <v>420</v>
      </c>
      <c r="D6" s="214" t="s">
        <v>421</v>
      </c>
      <c r="E6" s="221" t="s">
        <v>422</v>
      </c>
      <c r="F6" s="213" t="s">
        <v>423</v>
      </c>
      <c r="G6" s="214" t="s">
        <v>424</v>
      </c>
      <c r="H6" s="221" t="s">
        <v>440</v>
      </c>
      <c r="I6" s="213" t="s">
        <v>441</v>
      </c>
      <c r="J6" s="214" t="s">
        <v>442</v>
      </c>
    </row>
    <row r="7" spans="1:10" ht="15" customHeight="1">
      <c r="A7" s="300" t="s">
        <v>717</v>
      </c>
      <c r="B7" s="73">
        <f>SUM(B8:B16)</f>
        <v>651609</v>
      </c>
      <c r="C7" s="34">
        <f>SUM(C8:C16)</f>
        <v>619041</v>
      </c>
      <c r="D7" s="28">
        <f t="shared" ref="D7:D35" si="0">IF(SUM(B7:C7)=0,"-",SUM(B7:C7))</f>
        <v>1270650</v>
      </c>
      <c r="E7" s="11">
        <f>SUM(E8:E16)</f>
        <v>85714</v>
      </c>
      <c r="F7" s="34">
        <f>SUM(F8:F16)</f>
        <v>82784</v>
      </c>
      <c r="G7" s="28">
        <f t="shared" ref="G7:G35" si="1">IF(SUM(E7:F7)=0,"-",SUM(E7:F7))</f>
        <v>168498</v>
      </c>
      <c r="H7" s="73">
        <f t="shared" ref="H7:H35" si="2">IF(SUM(B7,E7)=0,"-",SUM(B7,E7))</f>
        <v>737323</v>
      </c>
      <c r="I7" s="34">
        <f t="shared" ref="I7:I35" si="3">IF(SUM(C7,F7)=0,"-",SUM(C7,F7))</f>
        <v>701825</v>
      </c>
      <c r="J7" s="28">
        <f t="shared" ref="J7:J35" si="4">IF(SUM(H7:I7)=0,"-",SUM(H7:I7))</f>
        <v>1439148</v>
      </c>
    </row>
    <row r="8" spans="1:10" ht="15" customHeight="1">
      <c r="A8" s="301" t="s">
        <v>596</v>
      </c>
      <c r="B8" s="909">
        <v>55079</v>
      </c>
      <c r="C8" s="183">
        <v>52606</v>
      </c>
      <c r="D8" s="184">
        <f t="shared" si="0"/>
        <v>107685</v>
      </c>
      <c r="E8" s="663" t="s">
        <v>1127</v>
      </c>
      <c r="F8" s="663" t="s">
        <v>1127</v>
      </c>
      <c r="G8" s="184" t="str">
        <f>IF(SUM(E8:F8)=0,"-",SUM(E8:F8))</f>
        <v>-</v>
      </c>
      <c r="H8" s="29">
        <f t="shared" si="2"/>
        <v>55079</v>
      </c>
      <c r="I8" s="33">
        <f t="shared" si="3"/>
        <v>52606</v>
      </c>
      <c r="J8" s="39">
        <f t="shared" si="4"/>
        <v>107685</v>
      </c>
    </row>
    <row r="9" spans="1:10" ht="15" customHeight="1">
      <c r="A9" s="301" t="s">
        <v>365</v>
      </c>
      <c r="B9" s="663" t="s">
        <v>1127</v>
      </c>
      <c r="C9" s="663" t="s">
        <v>1127</v>
      </c>
      <c r="D9" s="184" t="str">
        <f t="shared" si="0"/>
        <v>-</v>
      </c>
      <c r="E9" s="302">
        <v>69843</v>
      </c>
      <c r="F9" s="183">
        <v>67543</v>
      </c>
      <c r="G9" s="184">
        <f t="shared" si="1"/>
        <v>137386</v>
      </c>
      <c r="H9" s="29">
        <f t="shared" si="2"/>
        <v>69843</v>
      </c>
      <c r="I9" s="33">
        <f t="shared" si="3"/>
        <v>67543</v>
      </c>
      <c r="J9" s="39">
        <f t="shared" si="4"/>
        <v>137386</v>
      </c>
    </row>
    <row r="10" spans="1:10" ht="15" customHeight="1">
      <c r="A10" s="301" t="s">
        <v>595</v>
      </c>
      <c r="B10" s="909">
        <v>72302</v>
      </c>
      <c r="C10" s="183">
        <v>68562</v>
      </c>
      <c r="D10" s="184">
        <f t="shared" si="0"/>
        <v>140864</v>
      </c>
      <c r="E10" s="663" t="s">
        <v>1127</v>
      </c>
      <c r="F10" s="663" t="s">
        <v>1127</v>
      </c>
      <c r="G10" s="184" t="str">
        <f t="shared" si="1"/>
        <v>-</v>
      </c>
      <c r="H10" s="29">
        <f t="shared" si="2"/>
        <v>72302</v>
      </c>
      <c r="I10" s="33">
        <f t="shared" si="3"/>
        <v>68562</v>
      </c>
      <c r="J10" s="39">
        <f t="shared" si="4"/>
        <v>140864</v>
      </c>
    </row>
    <row r="11" spans="1:10" ht="15" customHeight="1">
      <c r="A11" s="301" t="s">
        <v>597</v>
      </c>
      <c r="B11" s="909">
        <v>96797</v>
      </c>
      <c r="C11" s="183">
        <v>92915</v>
      </c>
      <c r="D11" s="184">
        <f t="shared" si="0"/>
        <v>189712</v>
      </c>
      <c r="E11" s="302">
        <v>2726</v>
      </c>
      <c r="F11" s="183">
        <v>2600</v>
      </c>
      <c r="G11" s="184">
        <f t="shared" si="1"/>
        <v>5326</v>
      </c>
      <c r="H11" s="29">
        <f t="shared" si="2"/>
        <v>99523</v>
      </c>
      <c r="I11" s="33">
        <f t="shared" si="3"/>
        <v>95515</v>
      </c>
      <c r="J11" s="39">
        <f t="shared" si="4"/>
        <v>195038</v>
      </c>
    </row>
    <row r="12" spans="1:10" ht="15" customHeight="1">
      <c r="A12" s="301" t="s">
        <v>598</v>
      </c>
      <c r="B12" s="909">
        <v>69732</v>
      </c>
      <c r="C12" s="183">
        <v>66248</v>
      </c>
      <c r="D12" s="184">
        <f t="shared" si="0"/>
        <v>135980</v>
      </c>
      <c r="E12" s="663" t="s">
        <v>1127</v>
      </c>
      <c r="F12" s="663" t="s">
        <v>1127</v>
      </c>
      <c r="G12" s="184" t="str">
        <f t="shared" si="1"/>
        <v>-</v>
      </c>
      <c r="H12" s="29">
        <f t="shared" si="2"/>
        <v>69732</v>
      </c>
      <c r="I12" s="33">
        <f t="shared" si="3"/>
        <v>66248</v>
      </c>
      <c r="J12" s="39">
        <f t="shared" si="4"/>
        <v>135980</v>
      </c>
    </row>
    <row r="13" spans="1:10" ht="15" customHeight="1">
      <c r="A13" s="301" t="s">
        <v>599</v>
      </c>
      <c r="B13" s="909">
        <v>44575</v>
      </c>
      <c r="C13" s="183">
        <v>41613</v>
      </c>
      <c r="D13" s="184">
        <f t="shared" si="0"/>
        <v>86188</v>
      </c>
      <c r="E13" s="663" t="s">
        <v>1127</v>
      </c>
      <c r="F13" s="663" t="s">
        <v>1127</v>
      </c>
      <c r="G13" s="184" t="str">
        <f>IF(SUM(E13:F13)=0,"-",SUM(E13:F13))</f>
        <v>-</v>
      </c>
      <c r="H13" s="29">
        <f t="shared" si="2"/>
        <v>44575</v>
      </c>
      <c r="I13" s="33">
        <f t="shared" si="3"/>
        <v>41613</v>
      </c>
      <c r="J13" s="39">
        <f t="shared" si="4"/>
        <v>86188</v>
      </c>
    </row>
    <row r="14" spans="1:10" ht="15" customHeight="1">
      <c r="A14" s="301" t="s">
        <v>771</v>
      </c>
      <c r="B14" s="909">
        <v>93252</v>
      </c>
      <c r="C14" s="183">
        <v>87722</v>
      </c>
      <c r="D14" s="184">
        <f t="shared" si="0"/>
        <v>180974</v>
      </c>
      <c r="E14" s="663" t="s">
        <v>1127</v>
      </c>
      <c r="F14" s="663" t="s">
        <v>1127</v>
      </c>
      <c r="G14" s="184" t="str">
        <f>IF(SUM(E14:F14)=0,"-",SUM(E14:F14))</f>
        <v>-</v>
      </c>
      <c r="H14" s="29">
        <f t="shared" si="2"/>
        <v>93252</v>
      </c>
      <c r="I14" s="33">
        <f t="shared" si="3"/>
        <v>87722</v>
      </c>
      <c r="J14" s="39">
        <f t="shared" si="4"/>
        <v>180974</v>
      </c>
    </row>
    <row r="15" spans="1:10" ht="15" customHeight="1">
      <c r="A15" s="301" t="s">
        <v>600</v>
      </c>
      <c r="B15" s="909">
        <v>90624</v>
      </c>
      <c r="C15" s="183">
        <v>85639</v>
      </c>
      <c r="D15" s="184">
        <f t="shared" si="0"/>
        <v>176263</v>
      </c>
      <c r="E15" s="302">
        <v>13145</v>
      </c>
      <c r="F15" s="183">
        <v>12641</v>
      </c>
      <c r="G15" s="184">
        <f t="shared" si="1"/>
        <v>25786</v>
      </c>
      <c r="H15" s="29">
        <f t="shared" si="2"/>
        <v>103769</v>
      </c>
      <c r="I15" s="33">
        <f t="shared" si="3"/>
        <v>98280</v>
      </c>
      <c r="J15" s="39">
        <f t="shared" si="4"/>
        <v>202049</v>
      </c>
    </row>
    <row r="16" spans="1:10" ht="15" customHeight="1">
      <c r="A16" s="301" t="s">
        <v>602</v>
      </c>
      <c r="B16" s="909">
        <v>129248</v>
      </c>
      <c r="C16" s="183">
        <v>123736</v>
      </c>
      <c r="D16" s="184">
        <f t="shared" si="0"/>
        <v>252984</v>
      </c>
      <c r="E16" s="663" t="s">
        <v>1127</v>
      </c>
      <c r="F16" s="663" t="s">
        <v>1127</v>
      </c>
      <c r="G16" s="184" t="str">
        <f>IF(SUM(E16:F16)=0,"-",SUM(E16:F16))</f>
        <v>-</v>
      </c>
      <c r="H16" s="29">
        <f t="shared" si="2"/>
        <v>129248</v>
      </c>
      <c r="I16" s="33">
        <f t="shared" si="3"/>
        <v>123736</v>
      </c>
      <c r="J16" s="39">
        <f t="shared" si="4"/>
        <v>252984</v>
      </c>
    </row>
    <row r="17" spans="1:10" ht="15" customHeight="1">
      <c r="A17" s="303" t="s">
        <v>366</v>
      </c>
      <c r="B17" s="73">
        <f>SUM(B18:B25)</f>
        <v>520054</v>
      </c>
      <c r="C17" s="34">
        <f>SUM(C18:C25)</f>
        <v>499613</v>
      </c>
      <c r="D17" s="28">
        <f t="shared" si="0"/>
        <v>1019667</v>
      </c>
      <c r="E17" s="11">
        <f>IF(SUM(E18:E25)=0,"-",SUM(E18:E25))</f>
        <v>13281</v>
      </c>
      <c r="F17" s="34">
        <f>IF(SUM(F18:F25)=0,"-",SUM(F18:F25))</f>
        <v>12643</v>
      </c>
      <c r="G17" s="28">
        <f t="shared" si="1"/>
        <v>25924</v>
      </c>
      <c r="H17" s="73">
        <f t="shared" si="2"/>
        <v>533335</v>
      </c>
      <c r="I17" s="34">
        <f t="shared" si="3"/>
        <v>512256</v>
      </c>
      <c r="J17" s="28">
        <f t="shared" si="4"/>
        <v>1045591</v>
      </c>
    </row>
    <row r="18" spans="1:10" ht="15" customHeight="1">
      <c r="A18" s="301" t="s">
        <v>605</v>
      </c>
      <c r="B18" s="302">
        <v>80556</v>
      </c>
      <c r="C18" s="183">
        <v>75966</v>
      </c>
      <c r="D18" s="184">
        <f t="shared" si="0"/>
        <v>156522</v>
      </c>
      <c r="E18" s="663" t="s">
        <v>1127</v>
      </c>
      <c r="F18" s="663" t="s">
        <v>1127</v>
      </c>
      <c r="G18" s="184" t="str">
        <f>IF(SUM(E18:F18)=0,"-",SUM(E18:F18))</f>
        <v>-</v>
      </c>
      <c r="H18" s="29">
        <f t="shared" si="2"/>
        <v>80556</v>
      </c>
      <c r="I18" s="33">
        <f t="shared" si="3"/>
        <v>75966</v>
      </c>
      <c r="J18" s="39">
        <f t="shared" si="4"/>
        <v>156522</v>
      </c>
    </row>
    <row r="19" spans="1:10" ht="15" customHeight="1">
      <c r="A19" s="301" t="s">
        <v>604</v>
      </c>
      <c r="B19" s="302">
        <v>53702</v>
      </c>
      <c r="C19" s="183">
        <v>50890</v>
      </c>
      <c r="D19" s="184">
        <f t="shared" si="0"/>
        <v>104592</v>
      </c>
      <c r="E19" s="302">
        <v>6356</v>
      </c>
      <c r="F19" s="183">
        <v>6082</v>
      </c>
      <c r="G19" s="184">
        <f t="shared" si="1"/>
        <v>12438</v>
      </c>
      <c r="H19" s="29">
        <f t="shared" si="2"/>
        <v>60058</v>
      </c>
      <c r="I19" s="33">
        <f t="shared" si="3"/>
        <v>56972</v>
      </c>
      <c r="J19" s="39">
        <f t="shared" si="4"/>
        <v>117030</v>
      </c>
    </row>
    <row r="20" spans="1:10" ht="15" customHeight="1">
      <c r="A20" s="301" t="s">
        <v>368</v>
      </c>
      <c r="B20" s="302">
        <v>42917</v>
      </c>
      <c r="C20" s="183">
        <v>40917</v>
      </c>
      <c r="D20" s="184">
        <f t="shared" si="0"/>
        <v>83834</v>
      </c>
      <c r="E20" s="663" t="s">
        <v>1127</v>
      </c>
      <c r="F20" s="663" t="s">
        <v>1127</v>
      </c>
      <c r="G20" s="184" t="str">
        <f>IF(SUM(E20:F20)=0,"-",SUM(E20:F20))</f>
        <v>-</v>
      </c>
      <c r="H20" s="29">
        <f t="shared" si="2"/>
        <v>42917</v>
      </c>
      <c r="I20" s="33">
        <f t="shared" si="3"/>
        <v>40917</v>
      </c>
      <c r="J20" s="39">
        <f t="shared" si="4"/>
        <v>83834</v>
      </c>
    </row>
    <row r="21" spans="1:10" ht="15" customHeight="1">
      <c r="A21" s="301" t="s">
        <v>606</v>
      </c>
      <c r="B21" s="302">
        <v>60290</v>
      </c>
      <c r="C21" s="183">
        <v>58799</v>
      </c>
      <c r="D21" s="184">
        <f t="shared" si="0"/>
        <v>119089</v>
      </c>
      <c r="E21" s="663" t="s">
        <v>1127</v>
      </c>
      <c r="F21" s="663" t="s">
        <v>1127</v>
      </c>
      <c r="G21" s="184" t="str">
        <f>IF(SUM(E21:F21)=0,"-",SUM(E21:F21))</f>
        <v>-</v>
      </c>
      <c r="H21" s="29">
        <f t="shared" si="2"/>
        <v>60290</v>
      </c>
      <c r="I21" s="33">
        <f t="shared" si="3"/>
        <v>58799</v>
      </c>
      <c r="J21" s="39">
        <f t="shared" si="4"/>
        <v>119089</v>
      </c>
    </row>
    <row r="22" spans="1:10" ht="15" customHeight="1">
      <c r="A22" s="301" t="s">
        <v>347</v>
      </c>
      <c r="B22" s="302">
        <v>74999</v>
      </c>
      <c r="C22" s="183">
        <v>72894</v>
      </c>
      <c r="D22" s="184">
        <f t="shared" si="0"/>
        <v>147893</v>
      </c>
      <c r="E22" s="663" t="s">
        <v>1127</v>
      </c>
      <c r="F22" s="663" t="s">
        <v>1127</v>
      </c>
      <c r="G22" s="184" t="str">
        <f>IF(SUM(E22:F22)=0,"-",SUM(E22:F22))</f>
        <v>-</v>
      </c>
      <c r="H22" s="29">
        <f t="shared" si="2"/>
        <v>74999</v>
      </c>
      <c r="I22" s="33">
        <f t="shared" si="3"/>
        <v>72894</v>
      </c>
      <c r="J22" s="39">
        <f t="shared" si="4"/>
        <v>147893</v>
      </c>
    </row>
    <row r="23" spans="1:10" ht="15" customHeight="1">
      <c r="A23" s="301" t="s">
        <v>369</v>
      </c>
      <c r="B23" s="302">
        <v>69315</v>
      </c>
      <c r="C23" s="183">
        <v>66517</v>
      </c>
      <c r="D23" s="184">
        <f t="shared" si="0"/>
        <v>135832</v>
      </c>
      <c r="E23" s="302">
        <v>3693</v>
      </c>
      <c r="F23" s="183">
        <v>3513</v>
      </c>
      <c r="G23" s="184">
        <f t="shared" si="1"/>
        <v>7206</v>
      </c>
      <c r="H23" s="29">
        <f t="shared" si="2"/>
        <v>73008</v>
      </c>
      <c r="I23" s="33">
        <f t="shared" si="3"/>
        <v>70030</v>
      </c>
      <c r="J23" s="39">
        <f t="shared" si="4"/>
        <v>143038</v>
      </c>
    </row>
    <row r="24" spans="1:10" ht="15" customHeight="1">
      <c r="A24" s="301" t="s">
        <v>349</v>
      </c>
      <c r="B24" s="302">
        <v>84107</v>
      </c>
      <c r="C24" s="183">
        <v>80990</v>
      </c>
      <c r="D24" s="184">
        <f t="shared" si="0"/>
        <v>165097</v>
      </c>
      <c r="E24" s="302">
        <v>3232</v>
      </c>
      <c r="F24" s="183">
        <v>3048</v>
      </c>
      <c r="G24" s="184">
        <f t="shared" si="1"/>
        <v>6280</v>
      </c>
      <c r="H24" s="29">
        <f t="shared" si="2"/>
        <v>87339</v>
      </c>
      <c r="I24" s="33">
        <f t="shared" si="3"/>
        <v>84038</v>
      </c>
      <c r="J24" s="39">
        <f t="shared" si="4"/>
        <v>171377</v>
      </c>
    </row>
    <row r="25" spans="1:10" ht="15" customHeight="1">
      <c r="A25" s="304" t="s">
        <v>370</v>
      </c>
      <c r="B25" s="302">
        <v>54168</v>
      </c>
      <c r="C25" s="183">
        <v>52640</v>
      </c>
      <c r="D25" s="184">
        <f t="shared" si="0"/>
        <v>106808</v>
      </c>
      <c r="E25" s="663" t="s">
        <v>1127</v>
      </c>
      <c r="F25" s="663" t="s">
        <v>1127</v>
      </c>
      <c r="G25" s="184" t="str">
        <f>IF(SUM(E25:F25)=0,"-",SUM(E25:F25))</f>
        <v>-</v>
      </c>
      <c r="H25" s="29">
        <f t="shared" si="2"/>
        <v>54168</v>
      </c>
      <c r="I25" s="33">
        <f t="shared" si="3"/>
        <v>52640</v>
      </c>
      <c r="J25" s="39">
        <f t="shared" si="4"/>
        <v>106808</v>
      </c>
    </row>
    <row r="26" spans="1:10" ht="15" customHeight="1">
      <c r="A26" s="303" t="s">
        <v>371</v>
      </c>
      <c r="B26" s="64">
        <f>SUM(B27:B34)</f>
        <v>514114</v>
      </c>
      <c r="C26" s="43">
        <f>SUM(C27:C34)</f>
        <v>492470</v>
      </c>
      <c r="D26" s="28">
        <f t="shared" si="0"/>
        <v>1006584</v>
      </c>
      <c r="E26" s="64">
        <f>SUM(E27:E34)</f>
        <v>53323</v>
      </c>
      <c r="F26" s="43">
        <f>SUM(F27:F34)</f>
        <v>52028</v>
      </c>
      <c r="G26" s="28">
        <f t="shared" si="1"/>
        <v>105351</v>
      </c>
      <c r="H26" s="73">
        <f t="shared" si="2"/>
        <v>567437</v>
      </c>
      <c r="I26" s="34">
        <f t="shared" si="3"/>
        <v>544498</v>
      </c>
      <c r="J26" s="28">
        <f t="shared" si="4"/>
        <v>1111935</v>
      </c>
    </row>
    <row r="27" spans="1:10" ht="15" customHeight="1">
      <c r="A27" s="304" t="s">
        <v>350</v>
      </c>
      <c r="B27" s="302">
        <v>79941</v>
      </c>
      <c r="C27" s="183">
        <v>76881</v>
      </c>
      <c r="D27" s="184">
        <f t="shared" si="0"/>
        <v>156822</v>
      </c>
      <c r="E27" s="663" t="s">
        <v>1127</v>
      </c>
      <c r="F27" s="663" t="s">
        <v>1127</v>
      </c>
      <c r="G27" s="184" t="str">
        <f>IF(SUM(E27:F27)=0,"-",SUM(E27:F27))</f>
        <v>-</v>
      </c>
      <c r="H27" s="29">
        <f t="shared" si="2"/>
        <v>79941</v>
      </c>
      <c r="I27" s="33">
        <f t="shared" si="3"/>
        <v>76881</v>
      </c>
      <c r="J27" s="39">
        <f t="shared" si="4"/>
        <v>156822</v>
      </c>
    </row>
    <row r="28" spans="1:10" ht="15" customHeight="1">
      <c r="A28" s="304" t="s">
        <v>356</v>
      </c>
      <c r="B28" s="663" t="s">
        <v>1127</v>
      </c>
      <c r="C28" s="663" t="s">
        <v>1127</v>
      </c>
      <c r="D28" s="184" t="str">
        <f t="shared" si="0"/>
        <v>-</v>
      </c>
      <c r="E28" s="302">
        <v>34055</v>
      </c>
      <c r="F28" s="183">
        <v>33728</v>
      </c>
      <c r="G28" s="184">
        <f t="shared" si="1"/>
        <v>67783</v>
      </c>
      <c r="H28" s="29">
        <f t="shared" si="2"/>
        <v>34055</v>
      </c>
      <c r="I28" s="33">
        <f t="shared" si="3"/>
        <v>33728</v>
      </c>
      <c r="J28" s="39">
        <f t="shared" si="4"/>
        <v>67783</v>
      </c>
    </row>
    <row r="29" spans="1:10" ht="15" customHeight="1">
      <c r="A29" s="304" t="s">
        <v>351</v>
      </c>
      <c r="B29" s="302">
        <v>80138</v>
      </c>
      <c r="C29" s="183">
        <v>76782</v>
      </c>
      <c r="D29" s="184">
        <f t="shared" si="0"/>
        <v>156920</v>
      </c>
      <c r="E29" s="663" t="s">
        <v>1127</v>
      </c>
      <c r="F29" s="663" t="s">
        <v>1127</v>
      </c>
      <c r="G29" s="184" t="str">
        <f>IF(SUM(E29:F29)=0,"-",SUM(E29:F29))</f>
        <v>-</v>
      </c>
      <c r="H29" s="29">
        <f t="shared" si="2"/>
        <v>80138</v>
      </c>
      <c r="I29" s="33">
        <f t="shared" si="3"/>
        <v>76782</v>
      </c>
      <c r="J29" s="39">
        <f t="shared" si="4"/>
        <v>156920</v>
      </c>
    </row>
    <row r="30" spans="1:10" ht="15" customHeight="1">
      <c r="A30" s="304" t="s">
        <v>352</v>
      </c>
      <c r="B30" s="302">
        <v>92114</v>
      </c>
      <c r="C30" s="183">
        <v>88178</v>
      </c>
      <c r="D30" s="184">
        <f t="shared" si="0"/>
        <v>180292</v>
      </c>
      <c r="E30" s="302">
        <v>4280</v>
      </c>
      <c r="F30" s="183">
        <v>4203</v>
      </c>
      <c r="G30" s="184">
        <f t="shared" si="1"/>
        <v>8483</v>
      </c>
      <c r="H30" s="29">
        <f t="shared" si="2"/>
        <v>96394</v>
      </c>
      <c r="I30" s="33">
        <f t="shared" si="3"/>
        <v>92381</v>
      </c>
      <c r="J30" s="39">
        <f t="shared" si="4"/>
        <v>188775</v>
      </c>
    </row>
    <row r="31" spans="1:10" ht="15" customHeight="1">
      <c r="A31" s="304" t="s">
        <v>353</v>
      </c>
      <c r="B31" s="302">
        <v>81610</v>
      </c>
      <c r="C31" s="183">
        <v>77087</v>
      </c>
      <c r="D31" s="184">
        <f t="shared" si="0"/>
        <v>158697</v>
      </c>
      <c r="E31" s="663" t="s">
        <v>1127</v>
      </c>
      <c r="F31" s="663" t="s">
        <v>1127</v>
      </c>
      <c r="G31" s="184" t="str">
        <f>IF(SUM(E31:F31)=0,"-",SUM(E31:F31))</f>
        <v>-</v>
      </c>
      <c r="H31" s="29">
        <f t="shared" si="2"/>
        <v>81610</v>
      </c>
      <c r="I31" s="33">
        <f t="shared" si="3"/>
        <v>77087</v>
      </c>
      <c r="J31" s="39">
        <f t="shared" si="4"/>
        <v>158697</v>
      </c>
    </row>
    <row r="32" spans="1:10" ht="15" customHeight="1">
      <c r="A32" s="304" t="s">
        <v>362</v>
      </c>
      <c r="B32" s="663" t="s">
        <v>1127</v>
      </c>
      <c r="C32" s="663" t="s">
        <v>1127</v>
      </c>
      <c r="D32" s="184" t="str">
        <f t="shared" si="0"/>
        <v>-</v>
      </c>
      <c r="E32" s="302">
        <v>14988</v>
      </c>
      <c r="F32" s="183">
        <v>14097</v>
      </c>
      <c r="G32" s="184">
        <f t="shared" si="1"/>
        <v>29085</v>
      </c>
      <c r="H32" s="29">
        <f t="shared" si="2"/>
        <v>14988</v>
      </c>
      <c r="I32" s="33">
        <f t="shared" si="3"/>
        <v>14097</v>
      </c>
      <c r="J32" s="39">
        <f t="shared" si="4"/>
        <v>29085</v>
      </c>
    </row>
    <row r="33" spans="1:10" ht="15" customHeight="1">
      <c r="A33" s="304" t="s">
        <v>354</v>
      </c>
      <c r="B33" s="302">
        <v>93614</v>
      </c>
      <c r="C33" s="183">
        <v>90456</v>
      </c>
      <c r="D33" s="184">
        <f t="shared" si="0"/>
        <v>184070</v>
      </c>
      <c r="E33" s="663" t="s">
        <v>1127</v>
      </c>
      <c r="F33" s="663" t="s">
        <v>1127</v>
      </c>
      <c r="G33" s="184" t="str">
        <f>IF(SUM(E33:F33)=0,"-",SUM(E33:F33))</f>
        <v>-</v>
      </c>
      <c r="H33" s="29">
        <f t="shared" si="2"/>
        <v>93614</v>
      </c>
      <c r="I33" s="33">
        <f t="shared" si="3"/>
        <v>90456</v>
      </c>
      <c r="J33" s="39">
        <f t="shared" si="4"/>
        <v>184070</v>
      </c>
    </row>
    <row r="34" spans="1:10" ht="15" customHeight="1">
      <c r="A34" s="304" t="s">
        <v>355</v>
      </c>
      <c r="B34" s="302">
        <v>86697</v>
      </c>
      <c r="C34" s="183">
        <v>83086</v>
      </c>
      <c r="D34" s="184">
        <f t="shared" si="0"/>
        <v>169783</v>
      </c>
      <c r="E34" s="663" t="s">
        <v>1127</v>
      </c>
      <c r="F34" s="663" t="s">
        <v>1127</v>
      </c>
      <c r="G34" s="184" t="str">
        <f>IF(SUM(E34:F34)=0,"-",SUM(E34:F34))</f>
        <v>-</v>
      </c>
      <c r="H34" s="29">
        <f t="shared" si="2"/>
        <v>86697</v>
      </c>
      <c r="I34" s="33">
        <f t="shared" si="3"/>
        <v>83086</v>
      </c>
      <c r="J34" s="39">
        <f t="shared" si="4"/>
        <v>169783</v>
      </c>
    </row>
    <row r="35" spans="1:10" ht="15" customHeight="1">
      <c r="A35" s="179" t="s">
        <v>1368</v>
      </c>
      <c r="B35" s="209">
        <f>SUM(B26,B17,B7)</f>
        <v>1685777</v>
      </c>
      <c r="C35" s="179">
        <f>SUM(C26,C17,C7)</f>
        <v>1611124</v>
      </c>
      <c r="D35" s="180">
        <f t="shared" si="0"/>
        <v>3296901</v>
      </c>
      <c r="E35" s="209">
        <f>SUM(E26,E17,E7)</f>
        <v>152318</v>
      </c>
      <c r="F35" s="179">
        <f>SUM(F26,F17,F7)</f>
        <v>147455</v>
      </c>
      <c r="G35" s="180">
        <f t="shared" si="1"/>
        <v>299773</v>
      </c>
      <c r="H35" s="209">
        <f t="shared" si="2"/>
        <v>1838095</v>
      </c>
      <c r="I35" s="179">
        <f t="shared" si="3"/>
        <v>1758579</v>
      </c>
      <c r="J35" s="180">
        <f t="shared" si="4"/>
        <v>3596674</v>
      </c>
    </row>
    <row r="36" spans="1:10">
      <c r="A36" s="305"/>
      <c r="B36" s="305"/>
      <c r="C36" s="305"/>
      <c r="D36" s="306"/>
      <c r="E36" s="305"/>
      <c r="F36" s="305"/>
      <c r="I36" s="306"/>
      <c r="J36" s="713" t="s">
        <v>1665</v>
      </c>
    </row>
    <row r="37" spans="1:10">
      <c r="A37" s="305"/>
      <c r="B37" s="305"/>
      <c r="C37" s="305"/>
      <c r="D37" s="306"/>
      <c r="E37" s="305"/>
      <c r="F37" s="305"/>
      <c r="G37" s="306"/>
      <c r="H37" s="306"/>
      <c r="I37" s="306"/>
      <c r="J37" s="306"/>
    </row>
    <row r="38" spans="1:10">
      <c r="A38" s="305"/>
      <c r="B38" s="305"/>
      <c r="C38" s="305"/>
      <c r="D38" s="306"/>
      <c r="E38" s="305"/>
      <c r="F38" s="305"/>
      <c r="G38" s="306"/>
      <c r="H38" s="306"/>
      <c r="I38" s="306"/>
      <c r="J38" s="306"/>
    </row>
    <row r="39" spans="1:10">
      <c r="A39" s="305"/>
      <c r="B39" s="305"/>
      <c r="C39" s="305"/>
      <c r="D39" s="306"/>
      <c r="E39" s="305"/>
      <c r="F39" s="305"/>
      <c r="G39" s="306"/>
      <c r="H39" s="306"/>
      <c r="I39" s="306"/>
      <c r="J39" s="306"/>
    </row>
    <row r="40" spans="1:10">
      <c r="A40" s="305"/>
      <c r="B40" s="305"/>
      <c r="C40" s="305"/>
      <c r="D40" s="306"/>
      <c r="E40" s="305"/>
      <c r="F40" s="305"/>
      <c r="G40" s="306"/>
      <c r="H40" s="306"/>
      <c r="I40" s="306"/>
      <c r="J40" s="306"/>
    </row>
    <row r="41" spans="1:10">
      <c r="A41" s="305"/>
      <c r="B41" s="305"/>
      <c r="C41" s="305"/>
      <c r="D41" s="306"/>
      <c r="E41" s="305"/>
      <c r="F41" s="305"/>
      <c r="G41" s="306"/>
      <c r="H41" s="306"/>
      <c r="I41" s="306"/>
      <c r="J41" s="306"/>
    </row>
    <row r="42" spans="1:10">
      <c r="A42" s="305"/>
      <c r="B42" s="305"/>
      <c r="C42" s="305"/>
      <c r="D42" s="306"/>
      <c r="E42" s="305"/>
      <c r="F42" s="305"/>
      <c r="G42" s="306"/>
      <c r="H42" s="306"/>
      <c r="I42" s="306"/>
      <c r="J42" s="306"/>
    </row>
    <row r="43" spans="1:10">
      <c r="A43" s="305"/>
      <c r="B43" s="305"/>
      <c r="C43" s="305"/>
      <c r="D43" s="306"/>
      <c r="E43" s="305"/>
      <c r="F43" s="305"/>
      <c r="G43" s="306"/>
      <c r="H43" s="306"/>
      <c r="I43" s="306"/>
      <c r="J43" s="306"/>
    </row>
    <row r="44" spans="1:10">
      <c r="A44" s="305"/>
      <c r="B44" s="305"/>
      <c r="C44" s="305"/>
      <c r="D44" s="306"/>
      <c r="E44" s="305"/>
      <c r="F44" s="305"/>
      <c r="G44" s="306"/>
      <c r="H44" s="306"/>
      <c r="I44" s="306"/>
      <c r="J44" s="306"/>
    </row>
    <row r="45" spans="1:10">
      <c r="A45" s="305"/>
      <c r="B45" s="305"/>
      <c r="C45" s="305"/>
      <c r="D45" s="306"/>
      <c r="E45" s="305"/>
      <c r="F45" s="305"/>
      <c r="G45" s="306"/>
      <c r="H45" s="306"/>
      <c r="I45" s="306"/>
      <c r="J45" s="306"/>
    </row>
    <row r="46" spans="1:10">
      <c r="A46" s="305"/>
      <c r="B46" s="305"/>
      <c r="C46" s="305"/>
      <c r="D46" s="306"/>
      <c r="E46" s="305"/>
      <c r="F46" s="305"/>
      <c r="G46" s="306"/>
      <c r="H46" s="306"/>
      <c r="I46" s="306"/>
      <c r="J46" s="306"/>
    </row>
    <row r="47" spans="1:10">
      <c r="A47" s="305"/>
      <c r="B47" s="305"/>
      <c r="C47" s="305"/>
      <c r="D47" s="306"/>
      <c r="E47" s="305"/>
      <c r="F47" s="305"/>
      <c r="G47" s="306"/>
      <c r="H47" s="306"/>
      <c r="I47" s="306"/>
      <c r="J47" s="306"/>
    </row>
    <row r="48" spans="1:10">
      <c r="A48" s="305"/>
      <c r="B48" s="305"/>
      <c r="C48" s="305"/>
      <c r="D48" s="306"/>
      <c r="E48" s="305"/>
      <c r="F48" s="305"/>
      <c r="G48" s="306"/>
      <c r="H48" s="306"/>
      <c r="I48" s="306"/>
      <c r="J48" s="306"/>
    </row>
    <row r="49" spans="1:10">
      <c r="A49" s="305"/>
      <c r="B49" s="305"/>
      <c r="C49" s="305"/>
      <c r="D49" s="306"/>
      <c r="E49" s="305"/>
      <c r="F49" s="305"/>
      <c r="G49" s="306"/>
      <c r="H49" s="306"/>
      <c r="I49" s="306"/>
      <c r="J49" s="306"/>
    </row>
    <row r="50" spans="1:10">
      <c r="A50" s="305"/>
      <c r="B50" s="305"/>
      <c r="C50" s="305"/>
      <c r="D50" s="306"/>
      <c r="E50" s="305"/>
      <c r="F50" s="305"/>
      <c r="G50" s="306"/>
      <c r="H50" s="306"/>
      <c r="I50" s="306"/>
      <c r="J50" s="306"/>
    </row>
    <row r="51" spans="1:10">
      <c r="A51" s="305"/>
      <c r="B51" s="305"/>
      <c r="C51" s="305"/>
      <c r="D51" s="306"/>
      <c r="E51" s="305"/>
      <c r="F51" s="305"/>
      <c r="G51" s="306"/>
      <c r="H51" s="306"/>
      <c r="I51" s="306"/>
      <c r="J51" s="306"/>
    </row>
    <row r="52" spans="1:10">
      <c r="A52" s="305"/>
      <c r="B52" s="305"/>
      <c r="C52" s="305"/>
      <c r="D52" s="306"/>
      <c r="E52" s="305"/>
      <c r="F52" s="305"/>
      <c r="G52" s="306"/>
      <c r="H52" s="306"/>
      <c r="I52" s="306"/>
      <c r="J52" s="306"/>
    </row>
    <row r="53" spans="1:10">
      <c r="A53" s="305"/>
      <c r="B53" s="305"/>
      <c r="C53" s="305"/>
      <c r="D53" s="306"/>
      <c r="E53" s="305"/>
      <c r="F53" s="305"/>
      <c r="G53" s="306"/>
      <c r="H53" s="306"/>
      <c r="I53" s="306"/>
      <c r="J53" s="306"/>
    </row>
    <row r="54" spans="1:10">
      <c r="A54" s="305"/>
      <c r="B54" s="305"/>
      <c r="C54" s="305"/>
      <c r="D54" s="306"/>
      <c r="E54" s="305"/>
      <c r="F54" s="305"/>
      <c r="G54" s="306"/>
      <c r="H54" s="306"/>
      <c r="I54" s="306"/>
      <c r="J54" s="306"/>
    </row>
    <row r="55" spans="1:10">
      <c r="A55" s="305"/>
      <c r="B55" s="305"/>
      <c r="C55" s="305"/>
      <c r="D55" s="306"/>
      <c r="E55" s="305"/>
      <c r="F55" s="305"/>
      <c r="G55" s="306"/>
      <c r="H55" s="306"/>
      <c r="I55" s="306"/>
      <c r="J55" s="306"/>
    </row>
    <row r="56" spans="1:10">
      <c r="A56" s="305"/>
      <c r="B56" s="305"/>
      <c r="C56" s="305"/>
      <c r="D56" s="306"/>
      <c r="E56" s="305"/>
      <c r="F56" s="305"/>
      <c r="G56" s="306"/>
      <c r="H56" s="306"/>
      <c r="I56" s="306"/>
      <c r="J56" s="306"/>
    </row>
    <row r="57" spans="1:10">
      <c r="A57" s="305"/>
      <c r="B57" s="305"/>
      <c r="C57" s="305"/>
      <c r="D57" s="306"/>
      <c r="E57" s="305"/>
      <c r="F57" s="305"/>
      <c r="G57" s="306"/>
      <c r="H57" s="306"/>
      <c r="I57" s="306"/>
      <c r="J57" s="306"/>
    </row>
    <row r="58" spans="1:10">
      <c r="A58" s="305"/>
      <c r="B58" s="305"/>
      <c r="C58" s="305"/>
      <c r="D58" s="306"/>
      <c r="E58" s="305"/>
      <c r="F58" s="305"/>
      <c r="G58" s="306"/>
      <c r="H58" s="306"/>
      <c r="I58" s="306"/>
      <c r="J58" s="306"/>
    </row>
    <row r="59" spans="1:10">
      <c r="A59" s="305"/>
      <c r="B59" s="305"/>
      <c r="C59" s="305"/>
      <c r="D59" s="306"/>
      <c r="E59" s="305"/>
      <c r="F59" s="305"/>
      <c r="G59" s="306"/>
      <c r="H59" s="306"/>
      <c r="I59" s="306"/>
      <c r="J59" s="306"/>
    </row>
    <row r="60" spans="1:10">
      <c r="A60" s="305"/>
      <c r="B60" s="305"/>
      <c r="C60" s="305"/>
      <c r="D60" s="306"/>
      <c r="E60" s="305"/>
      <c r="F60" s="305"/>
      <c r="G60" s="306"/>
      <c r="H60" s="306"/>
      <c r="I60" s="306"/>
      <c r="J60" s="306"/>
    </row>
    <row r="61" spans="1:10">
      <c r="A61" s="305"/>
      <c r="B61" s="305"/>
      <c r="C61" s="305"/>
      <c r="D61" s="306"/>
      <c r="E61" s="305"/>
      <c r="F61" s="305"/>
      <c r="G61" s="306"/>
      <c r="H61" s="306"/>
      <c r="I61" s="306"/>
      <c r="J61" s="306"/>
    </row>
    <row r="62" spans="1:10">
      <c r="A62" s="306"/>
      <c r="B62" s="306"/>
      <c r="C62" s="306"/>
      <c r="D62" s="306"/>
      <c r="E62" s="306"/>
      <c r="F62" s="306"/>
      <c r="G62" s="306"/>
      <c r="H62" s="306"/>
      <c r="I62" s="306"/>
      <c r="J62" s="306"/>
    </row>
    <row r="63" spans="1:10">
      <c r="J63" s="492"/>
    </row>
  </sheetData>
  <mergeCells count="6">
    <mergeCell ref="A1:J1"/>
    <mergeCell ref="A2:J2"/>
    <mergeCell ref="E4:G4"/>
    <mergeCell ref="H4:J4"/>
    <mergeCell ref="A4:A5"/>
    <mergeCell ref="B4:D4"/>
  </mergeCells>
  <phoneticPr fontId="0" type="noConversion"/>
  <printOptions horizontalCentered="1"/>
  <pageMargins left="0.1" right="0.1" top="0.39" bottom="0.1" header="0.38" footer="0.1"/>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sheetPr codeName="Sheet13"/>
  <dimension ref="A1:S42"/>
  <sheetViews>
    <sheetView topLeftCell="A13" workbookViewId="0">
      <selection activeCell="M30" sqref="M30"/>
    </sheetView>
  </sheetViews>
  <sheetFormatPr defaultRowHeight="12.75"/>
  <cols>
    <col min="1" max="1" width="9.7109375" style="172" customWidth="1"/>
    <col min="2" max="19" width="6.7109375" style="172" customWidth="1"/>
    <col min="20" max="16384" width="9.140625" style="172"/>
  </cols>
  <sheetData>
    <row r="1" spans="1:19" ht="13.5" customHeight="1">
      <c r="A1" s="1181" t="s">
        <v>1601</v>
      </c>
      <c r="B1" s="1183"/>
      <c r="C1" s="1183"/>
      <c r="D1" s="1183"/>
      <c r="E1" s="1183"/>
      <c r="F1" s="1183"/>
      <c r="G1" s="1183"/>
      <c r="H1" s="1183"/>
      <c r="I1" s="1183"/>
      <c r="J1" s="1183"/>
      <c r="K1" s="1183"/>
      <c r="L1" s="1183"/>
      <c r="M1" s="1183"/>
      <c r="N1" s="1183"/>
      <c r="O1" s="1183"/>
      <c r="P1" s="1183"/>
      <c r="Q1" s="1183"/>
      <c r="R1" s="1183"/>
      <c r="S1" s="1183"/>
    </row>
    <row r="2" spans="1:19" s="206" customFormat="1" ht="18.75" customHeight="1">
      <c r="A2" s="1231" t="str">
        <f>CONCATENATE("Distribution of Population by sex and by age group in the district of ",District!$A$1,", 2001")</f>
        <v>Distribution of Population by sex and by age group in the district of Bankura, 2001</v>
      </c>
      <c r="B2" s="1231"/>
      <c r="C2" s="1231"/>
      <c r="D2" s="1231"/>
      <c r="E2" s="1231"/>
      <c r="F2" s="1231"/>
      <c r="G2" s="1231"/>
      <c r="H2" s="1231"/>
      <c r="I2" s="1231"/>
      <c r="J2" s="1231"/>
      <c r="K2" s="1231"/>
      <c r="L2" s="1231"/>
      <c r="M2" s="1231"/>
      <c r="N2" s="1231"/>
      <c r="O2" s="1231"/>
      <c r="P2" s="1231"/>
      <c r="Q2" s="1231"/>
      <c r="R2" s="1231"/>
      <c r="S2" s="1231"/>
    </row>
    <row r="3" spans="1:19">
      <c r="A3" s="206"/>
      <c r="B3" s="289"/>
      <c r="C3" s="206"/>
      <c r="D3" s="206"/>
      <c r="E3" s="206"/>
      <c r="F3" s="206"/>
      <c r="G3" s="206"/>
      <c r="H3" s="206"/>
      <c r="I3" s="206"/>
      <c r="J3" s="206"/>
      <c r="K3" s="206"/>
      <c r="L3" s="206"/>
      <c r="M3" s="206"/>
      <c r="N3" s="206"/>
      <c r="O3" s="206"/>
      <c r="P3" s="206"/>
      <c r="Q3" s="289"/>
      <c r="R3" s="289"/>
      <c r="S3" s="198" t="s">
        <v>38</v>
      </c>
    </row>
    <row r="4" spans="1:19" ht="17.100000000000001" customHeight="1">
      <c r="A4" s="1232" t="s">
        <v>535</v>
      </c>
      <c r="B4" s="1191" t="s">
        <v>1251</v>
      </c>
      <c r="C4" s="1191"/>
      <c r="D4" s="1191"/>
      <c r="E4" s="1191"/>
      <c r="F4" s="1191"/>
      <c r="G4" s="1192"/>
      <c r="H4" s="1193" t="s">
        <v>1252</v>
      </c>
      <c r="I4" s="1191"/>
      <c r="J4" s="1191"/>
      <c r="K4" s="1191"/>
      <c r="L4" s="1191"/>
      <c r="M4" s="1192"/>
      <c r="N4" s="1191" t="s">
        <v>75</v>
      </c>
      <c r="O4" s="1191"/>
      <c r="P4" s="1191"/>
      <c r="Q4" s="1191"/>
      <c r="R4" s="1191"/>
      <c r="S4" s="1192"/>
    </row>
    <row r="5" spans="1:19" ht="17.100000000000001" customHeight="1">
      <c r="A5" s="1233"/>
      <c r="B5" s="1191" t="s">
        <v>531</v>
      </c>
      <c r="C5" s="1192"/>
      <c r="D5" s="1193" t="s">
        <v>532</v>
      </c>
      <c r="E5" s="1192"/>
      <c r="F5" s="1191" t="s">
        <v>439</v>
      </c>
      <c r="G5" s="1192"/>
      <c r="H5" s="1193" t="s">
        <v>531</v>
      </c>
      <c r="I5" s="1192"/>
      <c r="J5" s="1193" t="s">
        <v>532</v>
      </c>
      <c r="K5" s="1192"/>
      <c r="L5" s="1191" t="s">
        <v>439</v>
      </c>
      <c r="M5" s="1192"/>
      <c r="N5" s="1193" t="s">
        <v>531</v>
      </c>
      <c r="O5" s="1192"/>
      <c r="P5" s="1193" t="s">
        <v>532</v>
      </c>
      <c r="Q5" s="1192"/>
      <c r="R5" s="1191" t="s">
        <v>439</v>
      </c>
      <c r="S5" s="1192"/>
    </row>
    <row r="6" spans="1:19" ht="17.100000000000001" customHeight="1">
      <c r="A6" s="1234"/>
      <c r="B6" s="24" t="s">
        <v>454</v>
      </c>
      <c r="C6" s="39" t="s">
        <v>536</v>
      </c>
      <c r="D6" s="29" t="s">
        <v>454</v>
      </c>
      <c r="E6" s="39" t="s">
        <v>536</v>
      </c>
      <c r="F6" s="24" t="s">
        <v>454</v>
      </c>
      <c r="G6" s="39" t="s">
        <v>536</v>
      </c>
      <c r="H6" s="29" t="s">
        <v>454</v>
      </c>
      <c r="I6" s="39" t="s">
        <v>536</v>
      </c>
      <c r="J6" s="29" t="s">
        <v>454</v>
      </c>
      <c r="K6" s="39" t="s">
        <v>536</v>
      </c>
      <c r="L6" s="24" t="s">
        <v>454</v>
      </c>
      <c r="M6" s="39" t="s">
        <v>536</v>
      </c>
      <c r="N6" s="29" t="s">
        <v>454</v>
      </c>
      <c r="O6" s="39" t="s">
        <v>536</v>
      </c>
      <c r="P6" s="29" t="s">
        <v>454</v>
      </c>
      <c r="Q6" s="39" t="s">
        <v>536</v>
      </c>
      <c r="R6" s="24" t="s">
        <v>454</v>
      </c>
      <c r="S6" s="39" t="s">
        <v>536</v>
      </c>
    </row>
    <row r="7" spans="1:19" ht="17.100000000000001" customHeight="1">
      <c r="A7" s="297" t="s">
        <v>418</v>
      </c>
      <c r="B7" s="222" t="s">
        <v>419</v>
      </c>
      <c r="C7" s="214" t="s">
        <v>420</v>
      </c>
      <c r="D7" s="221" t="s">
        <v>421</v>
      </c>
      <c r="E7" s="216" t="s">
        <v>422</v>
      </c>
      <c r="F7" s="222" t="s">
        <v>423</v>
      </c>
      <c r="G7" s="216" t="s">
        <v>424</v>
      </c>
      <c r="H7" s="221" t="s">
        <v>440</v>
      </c>
      <c r="I7" s="214" t="s">
        <v>441</v>
      </c>
      <c r="J7" s="221" t="s">
        <v>442</v>
      </c>
      <c r="K7" s="214" t="s">
        <v>443</v>
      </c>
      <c r="L7" s="222" t="s">
        <v>537</v>
      </c>
      <c r="M7" s="216" t="s">
        <v>538</v>
      </c>
      <c r="N7" s="311" t="s">
        <v>539</v>
      </c>
      <c r="O7" s="216" t="s">
        <v>540</v>
      </c>
      <c r="P7" s="311" t="s">
        <v>542</v>
      </c>
      <c r="Q7" s="216" t="s">
        <v>543</v>
      </c>
      <c r="R7" s="222" t="s">
        <v>545</v>
      </c>
      <c r="S7" s="214" t="s">
        <v>544</v>
      </c>
    </row>
    <row r="8" spans="1:19" ht="19.5" customHeight="1">
      <c r="A8" s="318" t="s">
        <v>546</v>
      </c>
      <c r="B8" s="319">
        <v>147.6</v>
      </c>
      <c r="C8" s="185">
        <f t="shared" ref="C8:C13" si="0">ROUND(B8/B$26*100,2)</f>
        <v>9.74</v>
      </c>
      <c r="D8" s="320">
        <v>141.30000000000001</v>
      </c>
      <c r="E8" s="185">
        <f>ROUND(D8/D$26*100,2)</f>
        <v>9.8000000000000007</v>
      </c>
      <c r="F8" s="150">
        <f t="shared" ref="F8:F25" si="1">B8+D8</f>
        <v>288.89999999999998</v>
      </c>
      <c r="G8" s="62">
        <f t="shared" ref="G8:G20" si="2">ROUND(F8/F$26*100,2)</f>
        <v>9.77</v>
      </c>
      <c r="H8" s="320">
        <v>8.5</v>
      </c>
      <c r="I8" s="185">
        <f t="shared" ref="I8:I18" si="3">ROUND(H8/H$26*100,2)</f>
        <v>7.05</v>
      </c>
      <c r="J8" s="320">
        <v>8.3000000000000007</v>
      </c>
      <c r="K8" s="185">
        <f t="shared" ref="K8:K25" si="4">ROUND(J8/J$26*100,2)</f>
        <v>7.24</v>
      </c>
      <c r="L8" s="150">
        <f t="shared" ref="L8:L25" si="5">H8+J8</f>
        <v>16.8</v>
      </c>
      <c r="M8" s="62">
        <f t="shared" ref="M8:M16" si="6">ROUND(L8/L$26*100,2)</f>
        <v>7.14</v>
      </c>
      <c r="N8" s="321">
        <f t="shared" ref="N8:N25" si="7">B8+H8</f>
        <v>156.1</v>
      </c>
      <c r="O8" s="185">
        <f>ROUND(N8/N$26*100,2)</f>
        <v>9.5399999999999991</v>
      </c>
      <c r="P8" s="68">
        <f t="shared" ref="P8:P25" si="8">D8+J8</f>
        <v>149.60000000000002</v>
      </c>
      <c r="Q8" s="62">
        <f>ROUND(P8/P$26*100,2)</f>
        <v>9.61</v>
      </c>
      <c r="R8" s="150">
        <f t="shared" ref="R8:R25" si="9">N8+P8</f>
        <v>305.70000000000005</v>
      </c>
      <c r="S8" s="62">
        <f>ROUND(R8/R$26*100,2)+0.01</f>
        <v>9.58</v>
      </c>
    </row>
    <row r="9" spans="1:19" ht="19.5" customHeight="1">
      <c r="A9" s="322" t="s">
        <v>547</v>
      </c>
      <c r="B9" s="319">
        <v>183</v>
      </c>
      <c r="C9" s="185">
        <f t="shared" si="0"/>
        <v>12.08</v>
      </c>
      <c r="D9" s="320">
        <v>174.5</v>
      </c>
      <c r="E9" s="185">
        <f>ROUND(D9/D$26*100,5)</f>
        <v>12.10125</v>
      </c>
      <c r="F9" s="150">
        <f t="shared" si="1"/>
        <v>357.5</v>
      </c>
      <c r="G9" s="62">
        <f t="shared" si="2"/>
        <v>12.09</v>
      </c>
      <c r="H9" s="320">
        <v>11</v>
      </c>
      <c r="I9" s="185">
        <f t="shared" si="3"/>
        <v>9.1199999999999992</v>
      </c>
      <c r="J9" s="320">
        <v>10.6</v>
      </c>
      <c r="K9" s="185">
        <f t="shared" si="4"/>
        <v>9.24</v>
      </c>
      <c r="L9" s="150">
        <f t="shared" si="5"/>
        <v>21.6</v>
      </c>
      <c r="M9" s="62">
        <f t="shared" si="6"/>
        <v>9.18</v>
      </c>
      <c r="N9" s="321">
        <f t="shared" si="7"/>
        <v>194</v>
      </c>
      <c r="O9" s="185">
        <f>ROUND(N9/N$26*100,2)</f>
        <v>11.86</v>
      </c>
      <c r="P9" s="68">
        <f t="shared" si="8"/>
        <v>185.1</v>
      </c>
      <c r="Q9" s="62">
        <f>ROUND(P9/P$26*100,2)</f>
        <v>11.89</v>
      </c>
      <c r="R9" s="150">
        <f t="shared" si="9"/>
        <v>379.1</v>
      </c>
      <c r="S9" s="62">
        <f t="shared" ref="S9:S14" si="10">ROUND(R9/R$26*100,2)</f>
        <v>11.87</v>
      </c>
    </row>
    <row r="10" spans="1:19" ht="19.5" customHeight="1">
      <c r="A10" s="322" t="s">
        <v>548</v>
      </c>
      <c r="B10" s="319">
        <v>176.8</v>
      </c>
      <c r="C10" s="185">
        <f t="shared" si="0"/>
        <v>11.67</v>
      </c>
      <c r="D10" s="320">
        <v>162.4</v>
      </c>
      <c r="E10" s="185">
        <f>ROUND(D10/D$26*100,2)</f>
        <v>11.26</v>
      </c>
      <c r="F10" s="150">
        <f t="shared" si="1"/>
        <v>339.20000000000005</v>
      </c>
      <c r="G10" s="62">
        <f t="shared" si="2"/>
        <v>11.47</v>
      </c>
      <c r="H10" s="320">
        <v>12.3</v>
      </c>
      <c r="I10" s="185">
        <f t="shared" si="3"/>
        <v>10.199999999999999</v>
      </c>
      <c r="J10" s="320">
        <v>11.9</v>
      </c>
      <c r="K10" s="185">
        <f t="shared" si="4"/>
        <v>10.37</v>
      </c>
      <c r="L10" s="150">
        <f t="shared" si="5"/>
        <v>24.200000000000003</v>
      </c>
      <c r="M10" s="62">
        <f t="shared" si="6"/>
        <v>10.28</v>
      </c>
      <c r="N10" s="321">
        <f t="shared" si="7"/>
        <v>189.10000000000002</v>
      </c>
      <c r="O10" s="185">
        <f>ROUND(N10/N$26*100,2)</f>
        <v>11.56</v>
      </c>
      <c r="P10" s="68">
        <f t="shared" si="8"/>
        <v>174.3</v>
      </c>
      <c r="Q10" s="62">
        <f>ROUND(P10/P$26*100,2)</f>
        <v>11.2</v>
      </c>
      <c r="R10" s="150">
        <f t="shared" si="9"/>
        <v>363.40000000000003</v>
      </c>
      <c r="S10" s="62">
        <f t="shared" si="10"/>
        <v>11.38</v>
      </c>
    </row>
    <row r="11" spans="1:19" ht="19.5" customHeight="1">
      <c r="A11" s="322" t="s">
        <v>549</v>
      </c>
      <c r="B11" s="319">
        <v>150.9</v>
      </c>
      <c r="C11" s="185">
        <f t="shared" si="0"/>
        <v>9.9600000000000009</v>
      </c>
      <c r="D11" s="320">
        <v>122.4</v>
      </c>
      <c r="E11" s="185">
        <f>ROUND(D11/D$26*100,2)</f>
        <v>8.49</v>
      </c>
      <c r="F11" s="150">
        <f t="shared" si="1"/>
        <v>273.3</v>
      </c>
      <c r="G11" s="62">
        <f t="shared" si="2"/>
        <v>9.24</v>
      </c>
      <c r="H11" s="320">
        <v>12.1</v>
      </c>
      <c r="I11" s="185">
        <f t="shared" si="3"/>
        <v>10.029999999999999</v>
      </c>
      <c r="J11" s="320">
        <v>10.9</v>
      </c>
      <c r="K11" s="185">
        <f t="shared" si="4"/>
        <v>9.5</v>
      </c>
      <c r="L11" s="150">
        <f t="shared" si="5"/>
        <v>23</v>
      </c>
      <c r="M11" s="62">
        <f t="shared" si="6"/>
        <v>9.77</v>
      </c>
      <c r="N11" s="321">
        <f t="shared" si="7"/>
        <v>163</v>
      </c>
      <c r="O11" s="185">
        <f>ROUND(N11/N$26*100,2)+0.01</f>
        <v>9.9700000000000006</v>
      </c>
      <c r="P11" s="68">
        <f t="shared" si="8"/>
        <v>133.30000000000001</v>
      </c>
      <c r="Q11" s="62">
        <f>ROUND(P11/P$26*100,2)</f>
        <v>8.56</v>
      </c>
      <c r="R11" s="150">
        <f t="shared" si="9"/>
        <v>296.3</v>
      </c>
      <c r="S11" s="62">
        <f t="shared" si="10"/>
        <v>9.2799999999999994</v>
      </c>
    </row>
    <row r="12" spans="1:19" ht="19.5" customHeight="1">
      <c r="A12" s="322" t="s">
        <v>550</v>
      </c>
      <c r="B12" s="319">
        <v>129.69999999999999</v>
      </c>
      <c r="C12" s="185">
        <f t="shared" si="0"/>
        <v>8.56</v>
      </c>
      <c r="D12" s="320">
        <v>126.2</v>
      </c>
      <c r="E12" s="185">
        <f>ROUND(D12/D$26*100,2)</f>
        <v>8.75</v>
      </c>
      <c r="F12" s="150">
        <f t="shared" si="1"/>
        <v>255.89999999999998</v>
      </c>
      <c r="G12" s="62">
        <f t="shared" si="2"/>
        <v>8.65</v>
      </c>
      <c r="H12" s="320">
        <v>11.2</v>
      </c>
      <c r="I12" s="185">
        <f t="shared" si="3"/>
        <v>9.2899999999999991</v>
      </c>
      <c r="J12" s="320">
        <v>10.5</v>
      </c>
      <c r="K12" s="185">
        <f t="shared" si="4"/>
        <v>9.15</v>
      </c>
      <c r="L12" s="150">
        <f t="shared" si="5"/>
        <v>21.7</v>
      </c>
      <c r="M12" s="62">
        <f t="shared" si="6"/>
        <v>9.2200000000000006</v>
      </c>
      <c r="N12" s="321">
        <f t="shared" si="7"/>
        <v>140.89999999999998</v>
      </c>
      <c r="O12" s="185">
        <f t="shared" ref="O12:O25" si="11">ROUND(N12/N$26*100,2)</f>
        <v>8.61</v>
      </c>
      <c r="P12" s="68">
        <f t="shared" si="8"/>
        <v>136.69999999999999</v>
      </c>
      <c r="Q12" s="62">
        <f>ROUND(P12/P$26*100,2)</f>
        <v>8.7799999999999994</v>
      </c>
      <c r="R12" s="150">
        <f t="shared" si="9"/>
        <v>277.59999999999997</v>
      </c>
      <c r="S12" s="62">
        <f t="shared" si="10"/>
        <v>8.69</v>
      </c>
    </row>
    <row r="13" spans="1:19" ht="19.5" customHeight="1">
      <c r="A13" s="322" t="s">
        <v>551</v>
      </c>
      <c r="B13" s="319">
        <v>131.9</v>
      </c>
      <c r="C13" s="185">
        <f t="shared" si="0"/>
        <v>8.6999999999999993</v>
      </c>
      <c r="D13" s="320">
        <v>132.6</v>
      </c>
      <c r="E13" s="185">
        <f>ROUND(D13/D$26*100,2)-0.01</f>
        <v>9.19</v>
      </c>
      <c r="F13" s="150">
        <f t="shared" si="1"/>
        <v>264.5</v>
      </c>
      <c r="G13" s="62">
        <f t="shared" si="2"/>
        <v>8.94</v>
      </c>
      <c r="H13" s="320">
        <v>10.6</v>
      </c>
      <c r="I13" s="185">
        <f t="shared" si="3"/>
        <v>8.7899999999999991</v>
      </c>
      <c r="J13" s="320">
        <v>10.7</v>
      </c>
      <c r="K13" s="185">
        <f t="shared" si="4"/>
        <v>9.33</v>
      </c>
      <c r="L13" s="150">
        <f t="shared" si="5"/>
        <v>21.299999999999997</v>
      </c>
      <c r="M13" s="62">
        <f t="shared" si="6"/>
        <v>9.0500000000000007</v>
      </c>
      <c r="N13" s="321">
        <f t="shared" si="7"/>
        <v>142.5</v>
      </c>
      <c r="O13" s="185">
        <f t="shared" si="11"/>
        <v>8.7100000000000009</v>
      </c>
      <c r="P13" s="68">
        <f t="shared" si="8"/>
        <v>143.29999999999998</v>
      </c>
      <c r="Q13" s="62">
        <f>ROUND(P13/P$26*100,2)-0.01</f>
        <v>9.2000000000000011</v>
      </c>
      <c r="R13" s="150">
        <f t="shared" si="9"/>
        <v>285.79999999999995</v>
      </c>
      <c r="S13" s="62">
        <f t="shared" si="10"/>
        <v>8.9499999999999993</v>
      </c>
    </row>
    <row r="14" spans="1:19" ht="19.5" customHeight="1">
      <c r="A14" s="322" t="s">
        <v>552</v>
      </c>
      <c r="B14" s="319">
        <v>119.8</v>
      </c>
      <c r="C14" s="185">
        <f>ROUND(B14/B$26*100,2)-0.01</f>
        <v>7.9</v>
      </c>
      <c r="D14" s="320">
        <v>114</v>
      </c>
      <c r="E14" s="185">
        <f>ROUND(D14/D$26*100,2)</f>
        <v>7.91</v>
      </c>
      <c r="F14" s="150">
        <f t="shared" si="1"/>
        <v>233.8</v>
      </c>
      <c r="G14" s="62">
        <f t="shared" si="2"/>
        <v>7.91</v>
      </c>
      <c r="H14" s="320">
        <v>9.9</v>
      </c>
      <c r="I14" s="185">
        <f t="shared" si="3"/>
        <v>8.2100000000000009</v>
      </c>
      <c r="J14" s="320">
        <v>9.8000000000000007</v>
      </c>
      <c r="K14" s="185">
        <f t="shared" si="4"/>
        <v>8.5399999999999991</v>
      </c>
      <c r="L14" s="150">
        <f t="shared" si="5"/>
        <v>19.700000000000003</v>
      </c>
      <c r="M14" s="62">
        <f t="shared" si="6"/>
        <v>8.3699999999999992</v>
      </c>
      <c r="N14" s="321">
        <f t="shared" si="7"/>
        <v>129.69999999999999</v>
      </c>
      <c r="O14" s="185">
        <f t="shared" si="11"/>
        <v>7.93</v>
      </c>
      <c r="P14" s="68">
        <f t="shared" si="8"/>
        <v>123.8</v>
      </c>
      <c r="Q14" s="62">
        <f t="shared" ref="Q14:Q25" si="12">ROUND(P14/P$26*100,2)</f>
        <v>7.95</v>
      </c>
      <c r="R14" s="150">
        <f t="shared" si="9"/>
        <v>253.5</v>
      </c>
      <c r="S14" s="62">
        <f t="shared" si="10"/>
        <v>7.94</v>
      </c>
    </row>
    <row r="15" spans="1:19" ht="19.5" customHeight="1">
      <c r="A15" s="322" t="s">
        <v>553</v>
      </c>
      <c r="B15" s="319">
        <v>115.1</v>
      </c>
      <c r="C15" s="185">
        <f t="shared" ref="C15:C25" si="13">ROUND(B15/B$26*100,2)</f>
        <v>7.6</v>
      </c>
      <c r="D15" s="320">
        <v>103.9</v>
      </c>
      <c r="E15" s="185">
        <f>ROUND(D15/D$26*100,2)</f>
        <v>7.21</v>
      </c>
      <c r="F15" s="150">
        <f t="shared" si="1"/>
        <v>219</v>
      </c>
      <c r="G15" s="62">
        <f t="shared" si="2"/>
        <v>7.41</v>
      </c>
      <c r="H15" s="320">
        <v>9.9</v>
      </c>
      <c r="I15" s="185">
        <f t="shared" si="3"/>
        <v>8.2100000000000009</v>
      </c>
      <c r="J15" s="320">
        <v>9.4</v>
      </c>
      <c r="K15" s="185">
        <f t="shared" si="4"/>
        <v>8.1999999999999993</v>
      </c>
      <c r="L15" s="150">
        <f t="shared" si="5"/>
        <v>19.3</v>
      </c>
      <c r="M15" s="62">
        <f t="shared" si="6"/>
        <v>8.1999999999999993</v>
      </c>
      <c r="N15" s="321">
        <f t="shared" si="7"/>
        <v>125</v>
      </c>
      <c r="O15" s="185">
        <f t="shared" si="11"/>
        <v>7.64</v>
      </c>
      <c r="P15" s="68">
        <f t="shared" si="8"/>
        <v>113.30000000000001</v>
      </c>
      <c r="Q15" s="62">
        <f t="shared" si="12"/>
        <v>7.28</v>
      </c>
      <c r="R15" s="150">
        <f t="shared" si="9"/>
        <v>238.3</v>
      </c>
      <c r="S15" s="62">
        <f>ROUND(R15/R$26*100,2)+0.01</f>
        <v>7.47</v>
      </c>
    </row>
    <row r="16" spans="1:19" ht="19.5" customHeight="1">
      <c r="A16" s="322" t="s">
        <v>554</v>
      </c>
      <c r="B16" s="319">
        <v>88.3</v>
      </c>
      <c r="C16" s="185">
        <f t="shared" si="13"/>
        <v>5.83</v>
      </c>
      <c r="D16" s="320">
        <v>76.599999999999994</v>
      </c>
      <c r="E16" s="185">
        <f>ROUND(D16/D$26*100,2)</f>
        <v>5.31</v>
      </c>
      <c r="F16" s="150">
        <f t="shared" si="1"/>
        <v>164.89999999999998</v>
      </c>
      <c r="G16" s="62">
        <f t="shared" si="2"/>
        <v>5.58</v>
      </c>
      <c r="H16" s="320">
        <v>8.5</v>
      </c>
      <c r="I16" s="185">
        <f t="shared" si="3"/>
        <v>7.05</v>
      </c>
      <c r="J16" s="320">
        <v>7.2</v>
      </c>
      <c r="K16" s="185">
        <f t="shared" si="4"/>
        <v>6.28</v>
      </c>
      <c r="L16" s="150">
        <f t="shared" si="5"/>
        <v>15.7</v>
      </c>
      <c r="M16" s="62">
        <f t="shared" si="6"/>
        <v>6.67</v>
      </c>
      <c r="N16" s="321">
        <f t="shared" si="7"/>
        <v>96.8</v>
      </c>
      <c r="O16" s="185">
        <f t="shared" si="11"/>
        <v>5.92</v>
      </c>
      <c r="P16" s="68">
        <f t="shared" si="8"/>
        <v>83.8</v>
      </c>
      <c r="Q16" s="62">
        <f t="shared" si="12"/>
        <v>5.38</v>
      </c>
      <c r="R16" s="150">
        <f t="shared" si="9"/>
        <v>180.6</v>
      </c>
      <c r="S16" s="62">
        <f t="shared" ref="S16:S21" si="14">ROUND(R16/R$26*100,2)</f>
        <v>5.66</v>
      </c>
    </row>
    <row r="17" spans="1:19" ht="19.5" customHeight="1">
      <c r="A17" s="322" t="s">
        <v>555</v>
      </c>
      <c r="B17" s="323">
        <v>76.900000000000006</v>
      </c>
      <c r="C17" s="185">
        <f t="shared" si="13"/>
        <v>5.07</v>
      </c>
      <c r="D17" s="324">
        <v>69.599999999999994</v>
      </c>
      <c r="E17" s="185">
        <f>ROUND(D17/D$26*100,2)-0.01</f>
        <v>4.82</v>
      </c>
      <c r="F17" s="150">
        <f t="shared" si="1"/>
        <v>146.5</v>
      </c>
      <c r="G17" s="62">
        <f t="shared" si="2"/>
        <v>4.95</v>
      </c>
      <c r="H17" s="324">
        <v>7.5</v>
      </c>
      <c r="I17" s="185">
        <f t="shared" si="3"/>
        <v>6.22</v>
      </c>
      <c r="J17" s="324">
        <v>6.3</v>
      </c>
      <c r="K17" s="185">
        <f t="shared" si="4"/>
        <v>5.49</v>
      </c>
      <c r="L17" s="150">
        <f t="shared" si="5"/>
        <v>13.8</v>
      </c>
      <c r="M17" s="62">
        <f>ROUND(L17/L$26*100,2)+0.01</f>
        <v>5.87</v>
      </c>
      <c r="N17" s="321">
        <f t="shared" si="7"/>
        <v>84.4</v>
      </c>
      <c r="O17" s="185">
        <f t="shared" si="11"/>
        <v>5.16</v>
      </c>
      <c r="P17" s="68">
        <f t="shared" si="8"/>
        <v>75.899999999999991</v>
      </c>
      <c r="Q17" s="62">
        <f t="shared" si="12"/>
        <v>4.88</v>
      </c>
      <c r="R17" s="150">
        <f t="shared" si="9"/>
        <v>160.30000000000001</v>
      </c>
      <c r="S17" s="62">
        <f t="shared" si="14"/>
        <v>5.0199999999999996</v>
      </c>
    </row>
    <row r="18" spans="1:19" ht="19.5" customHeight="1">
      <c r="A18" s="322" t="s">
        <v>556</v>
      </c>
      <c r="B18" s="323">
        <v>53.9</v>
      </c>
      <c r="C18" s="185">
        <f t="shared" si="13"/>
        <v>3.56</v>
      </c>
      <c r="D18" s="324">
        <v>52.9</v>
      </c>
      <c r="E18" s="185">
        <f t="shared" ref="E18:E25" si="15">ROUND(D18/D$26*100,2)</f>
        <v>3.67</v>
      </c>
      <c r="F18" s="150">
        <f t="shared" si="1"/>
        <v>106.8</v>
      </c>
      <c r="G18" s="62">
        <f t="shared" si="2"/>
        <v>3.61</v>
      </c>
      <c r="H18" s="324">
        <v>5.7</v>
      </c>
      <c r="I18" s="185">
        <f t="shared" si="3"/>
        <v>4.7300000000000004</v>
      </c>
      <c r="J18" s="324">
        <v>4.7</v>
      </c>
      <c r="K18" s="185">
        <f t="shared" si="4"/>
        <v>4.0999999999999996</v>
      </c>
      <c r="L18" s="150">
        <f t="shared" si="5"/>
        <v>10.4</v>
      </c>
      <c r="M18" s="62">
        <f>ROUND(L18/L$26*100,2)</f>
        <v>4.42</v>
      </c>
      <c r="N18" s="321">
        <f t="shared" si="7"/>
        <v>59.6</v>
      </c>
      <c r="O18" s="185">
        <f t="shared" si="11"/>
        <v>3.64</v>
      </c>
      <c r="P18" s="68">
        <f t="shared" si="8"/>
        <v>57.6</v>
      </c>
      <c r="Q18" s="62">
        <f t="shared" si="12"/>
        <v>3.7</v>
      </c>
      <c r="R18" s="150">
        <f t="shared" si="9"/>
        <v>117.2</v>
      </c>
      <c r="S18" s="62">
        <f t="shared" si="14"/>
        <v>3.67</v>
      </c>
    </row>
    <row r="19" spans="1:19" ht="19.5" customHeight="1">
      <c r="A19" s="322" t="s">
        <v>557</v>
      </c>
      <c r="B19" s="323">
        <v>45</v>
      </c>
      <c r="C19" s="185">
        <f t="shared" si="13"/>
        <v>2.97</v>
      </c>
      <c r="D19" s="324">
        <v>47.3</v>
      </c>
      <c r="E19" s="185">
        <f t="shared" si="15"/>
        <v>3.28</v>
      </c>
      <c r="F19" s="150">
        <f t="shared" si="1"/>
        <v>92.3</v>
      </c>
      <c r="G19" s="62">
        <f t="shared" si="2"/>
        <v>3.12</v>
      </c>
      <c r="H19" s="324">
        <v>4.3</v>
      </c>
      <c r="I19" s="185">
        <f>ROUND(H19/H$26*100,2)-0.01</f>
        <v>3.56</v>
      </c>
      <c r="J19" s="324">
        <v>3.9</v>
      </c>
      <c r="K19" s="185">
        <f t="shared" si="4"/>
        <v>3.4</v>
      </c>
      <c r="L19" s="150">
        <f t="shared" si="5"/>
        <v>8.1999999999999993</v>
      </c>
      <c r="M19" s="62">
        <f>ROUND(L19/L$26*100,2)+0.01</f>
        <v>3.4899999999999998</v>
      </c>
      <c r="N19" s="321">
        <f t="shared" si="7"/>
        <v>49.3</v>
      </c>
      <c r="O19" s="185">
        <f t="shared" si="11"/>
        <v>3.01</v>
      </c>
      <c r="P19" s="68">
        <f t="shared" si="8"/>
        <v>51.199999999999996</v>
      </c>
      <c r="Q19" s="62">
        <f t="shared" si="12"/>
        <v>3.29</v>
      </c>
      <c r="R19" s="150">
        <f t="shared" si="9"/>
        <v>100.5</v>
      </c>
      <c r="S19" s="62">
        <f t="shared" si="14"/>
        <v>3.15</v>
      </c>
    </row>
    <row r="20" spans="1:19" ht="19.5" customHeight="1">
      <c r="A20" s="322" t="s">
        <v>558</v>
      </c>
      <c r="B20" s="323">
        <v>34.700000000000003</v>
      </c>
      <c r="C20" s="185">
        <f t="shared" si="13"/>
        <v>2.29</v>
      </c>
      <c r="D20" s="324">
        <v>42.2</v>
      </c>
      <c r="E20" s="185">
        <f t="shared" si="15"/>
        <v>2.93</v>
      </c>
      <c r="F20" s="150">
        <f t="shared" si="1"/>
        <v>76.900000000000006</v>
      </c>
      <c r="G20" s="62">
        <f t="shared" si="2"/>
        <v>2.6</v>
      </c>
      <c r="H20" s="324">
        <v>3.3</v>
      </c>
      <c r="I20" s="185">
        <f t="shared" ref="I20:I25" si="16">ROUND(H20/H$26*100,2)</f>
        <v>2.74</v>
      </c>
      <c r="J20" s="324">
        <v>3.6</v>
      </c>
      <c r="K20" s="185">
        <f t="shared" si="4"/>
        <v>3.14</v>
      </c>
      <c r="L20" s="150">
        <f t="shared" si="5"/>
        <v>6.9</v>
      </c>
      <c r="M20" s="62">
        <f>ROUND(L20/L$26*100,2)</f>
        <v>2.93</v>
      </c>
      <c r="N20" s="321">
        <f t="shared" si="7"/>
        <v>38</v>
      </c>
      <c r="O20" s="185">
        <f t="shared" si="11"/>
        <v>2.3199999999999998</v>
      </c>
      <c r="P20" s="68">
        <f t="shared" si="8"/>
        <v>45.800000000000004</v>
      </c>
      <c r="Q20" s="62">
        <f t="shared" si="12"/>
        <v>2.94</v>
      </c>
      <c r="R20" s="150">
        <f t="shared" si="9"/>
        <v>83.800000000000011</v>
      </c>
      <c r="S20" s="62">
        <f t="shared" si="14"/>
        <v>2.62</v>
      </c>
    </row>
    <row r="21" spans="1:19" ht="19.5" customHeight="1">
      <c r="A21" s="322" t="s">
        <v>559</v>
      </c>
      <c r="B21" s="323">
        <v>25.2</v>
      </c>
      <c r="C21" s="185">
        <f t="shared" si="13"/>
        <v>1.66</v>
      </c>
      <c r="D21" s="324">
        <v>33.200000000000003</v>
      </c>
      <c r="E21" s="185">
        <f t="shared" si="15"/>
        <v>2.2999999999999998</v>
      </c>
      <c r="F21" s="150">
        <f t="shared" si="1"/>
        <v>58.400000000000006</v>
      </c>
      <c r="G21" s="62">
        <f>ROUND(F21/F$26*100,2)+0.01</f>
        <v>1.98</v>
      </c>
      <c r="H21" s="324">
        <v>2.5</v>
      </c>
      <c r="I21" s="185">
        <f t="shared" si="16"/>
        <v>2.0699999999999998</v>
      </c>
      <c r="J21" s="324">
        <v>2.8</v>
      </c>
      <c r="K21" s="185">
        <f t="shared" si="4"/>
        <v>2.44</v>
      </c>
      <c r="L21" s="150">
        <f t="shared" si="5"/>
        <v>5.3</v>
      </c>
      <c r="M21" s="62">
        <f>ROUND(L21/L$26*100,2)</f>
        <v>2.25</v>
      </c>
      <c r="N21" s="321">
        <f t="shared" si="7"/>
        <v>27.7</v>
      </c>
      <c r="O21" s="185">
        <f t="shared" si="11"/>
        <v>1.69</v>
      </c>
      <c r="P21" s="68">
        <f t="shared" si="8"/>
        <v>36</v>
      </c>
      <c r="Q21" s="62">
        <f t="shared" si="12"/>
        <v>2.31</v>
      </c>
      <c r="R21" s="150">
        <f t="shared" si="9"/>
        <v>63.7</v>
      </c>
      <c r="S21" s="62">
        <f t="shared" si="14"/>
        <v>2</v>
      </c>
    </row>
    <row r="22" spans="1:19" ht="19.5" customHeight="1">
      <c r="A22" s="322" t="s">
        <v>565</v>
      </c>
      <c r="B22" s="323">
        <v>17.600000000000001</v>
      </c>
      <c r="C22" s="185">
        <f t="shared" si="13"/>
        <v>1.1599999999999999</v>
      </c>
      <c r="D22" s="324">
        <v>21.1</v>
      </c>
      <c r="E22" s="185">
        <f t="shared" si="15"/>
        <v>1.46</v>
      </c>
      <c r="F22" s="150">
        <f t="shared" si="1"/>
        <v>38.700000000000003</v>
      </c>
      <c r="G22" s="62">
        <f>ROUND(F22/F$26*100,2)</f>
        <v>1.31</v>
      </c>
      <c r="H22" s="324">
        <v>1.7</v>
      </c>
      <c r="I22" s="185">
        <f t="shared" si="16"/>
        <v>1.41</v>
      </c>
      <c r="J22" s="324">
        <v>1.9</v>
      </c>
      <c r="K22" s="185">
        <f t="shared" si="4"/>
        <v>1.66</v>
      </c>
      <c r="L22" s="150">
        <f t="shared" si="5"/>
        <v>3.5999999999999996</v>
      </c>
      <c r="M22" s="62">
        <f>ROUND(L22/L$26*100,2)</f>
        <v>1.53</v>
      </c>
      <c r="N22" s="321">
        <f t="shared" si="7"/>
        <v>19.3</v>
      </c>
      <c r="O22" s="185">
        <f t="shared" si="11"/>
        <v>1.18</v>
      </c>
      <c r="P22" s="68">
        <f t="shared" si="8"/>
        <v>23</v>
      </c>
      <c r="Q22" s="62">
        <f t="shared" si="12"/>
        <v>1.48</v>
      </c>
      <c r="R22" s="150">
        <f t="shared" si="9"/>
        <v>42.3</v>
      </c>
      <c r="S22" s="62">
        <f>ROUND(R22/R$26*100,2)+0.01</f>
        <v>1.33</v>
      </c>
    </row>
    <row r="23" spans="1:19" ht="19.5" customHeight="1">
      <c r="A23" s="322" t="s">
        <v>566</v>
      </c>
      <c r="B23" s="323">
        <v>9.1</v>
      </c>
      <c r="C23" s="185">
        <f t="shared" si="13"/>
        <v>0.6</v>
      </c>
      <c r="D23" s="324">
        <v>10.5</v>
      </c>
      <c r="E23" s="185">
        <f t="shared" si="15"/>
        <v>0.73</v>
      </c>
      <c r="F23" s="150">
        <f t="shared" si="1"/>
        <v>19.600000000000001</v>
      </c>
      <c r="G23" s="62">
        <f>ROUND(F23/F$26*100,2)</f>
        <v>0.66</v>
      </c>
      <c r="H23" s="324">
        <v>0.8</v>
      </c>
      <c r="I23" s="185">
        <f t="shared" si="16"/>
        <v>0.66</v>
      </c>
      <c r="J23" s="324">
        <v>1</v>
      </c>
      <c r="K23" s="185">
        <f t="shared" si="4"/>
        <v>0.87</v>
      </c>
      <c r="L23" s="150">
        <f t="shared" si="5"/>
        <v>1.8</v>
      </c>
      <c r="M23" s="62">
        <f>ROUND(L23/L$26*100,2)+0.01</f>
        <v>0.77</v>
      </c>
      <c r="N23" s="321">
        <f t="shared" si="7"/>
        <v>9.9</v>
      </c>
      <c r="O23" s="185">
        <f t="shared" si="11"/>
        <v>0.61</v>
      </c>
      <c r="P23" s="68">
        <f t="shared" si="8"/>
        <v>11.5</v>
      </c>
      <c r="Q23" s="62">
        <f t="shared" si="12"/>
        <v>0.74</v>
      </c>
      <c r="R23" s="150">
        <f t="shared" si="9"/>
        <v>21.4</v>
      </c>
      <c r="S23" s="62">
        <f>ROUND(R23/R$26*100,2)</f>
        <v>0.67</v>
      </c>
    </row>
    <row r="24" spans="1:19" ht="19.5" customHeight="1">
      <c r="A24" s="322" t="s">
        <v>567</v>
      </c>
      <c r="B24" s="323">
        <v>8.5</v>
      </c>
      <c r="C24" s="185">
        <f t="shared" si="13"/>
        <v>0.56000000000000005</v>
      </c>
      <c r="D24" s="324">
        <v>10.199999999999999</v>
      </c>
      <c r="E24" s="185">
        <f t="shared" si="15"/>
        <v>0.71</v>
      </c>
      <c r="F24" s="150">
        <f t="shared" si="1"/>
        <v>18.7</v>
      </c>
      <c r="G24" s="62">
        <f>ROUND(F24/F$26*100,2)</f>
        <v>0.63</v>
      </c>
      <c r="H24" s="324">
        <v>0.7</v>
      </c>
      <c r="I24" s="185">
        <f t="shared" si="16"/>
        <v>0.57999999999999996</v>
      </c>
      <c r="J24" s="324">
        <v>1.1000000000000001</v>
      </c>
      <c r="K24" s="185">
        <f t="shared" si="4"/>
        <v>0.96</v>
      </c>
      <c r="L24" s="150">
        <f t="shared" si="5"/>
        <v>1.8</v>
      </c>
      <c r="M24" s="62">
        <f>ROUND(L24/L$26*100,2)+0.01</f>
        <v>0.77</v>
      </c>
      <c r="N24" s="321">
        <f t="shared" si="7"/>
        <v>9.1999999999999993</v>
      </c>
      <c r="O24" s="185">
        <f t="shared" si="11"/>
        <v>0.56000000000000005</v>
      </c>
      <c r="P24" s="68">
        <f t="shared" si="8"/>
        <v>11.299999999999999</v>
      </c>
      <c r="Q24" s="62">
        <f t="shared" si="12"/>
        <v>0.73</v>
      </c>
      <c r="R24" s="150">
        <f t="shared" si="9"/>
        <v>20.5</v>
      </c>
      <c r="S24" s="62">
        <f>ROUND(R24/R$26*100,2)</f>
        <v>0.64</v>
      </c>
    </row>
    <row r="25" spans="1:19" ht="19.5" customHeight="1">
      <c r="A25" s="325" t="s">
        <v>563</v>
      </c>
      <c r="B25" s="323">
        <v>1.4</v>
      </c>
      <c r="C25" s="185">
        <f t="shared" si="13"/>
        <v>0.09</v>
      </c>
      <c r="D25" s="324">
        <v>1.1000000000000001</v>
      </c>
      <c r="E25" s="185">
        <f t="shared" si="15"/>
        <v>0.08</v>
      </c>
      <c r="F25" s="150">
        <f t="shared" si="1"/>
        <v>2.5</v>
      </c>
      <c r="G25" s="62">
        <f>ROUND(F25/F$26*100,2)</f>
        <v>0.08</v>
      </c>
      <c r="H25" s="324">
        <v>0.1</v>
      </c>
      <c r="I25" s="185">
        <f t="shared" si="16"/>
        <v>0.08</v>
      </c>
      <c r="J25" s="324">
        <v>0.1</v>
      </c>
      <c r="K25" s="185">
        <f t="shared" si="4"/>
        <v>0.09</v>
      </c>
      <c r="L25" s="150">
        <f t="shared" si="5"/>
        <v>0.2</v>
      </c>
      <c r="M25" s="62">
        <f>ROUND(L25/L$26*100,2)+0.01</f>
        <v>0.09</v>
      </c>
      <c r="N25" s="321">
        <f t="shared" si="7"/>
        <v>1.5</v>
      </c>
      <c r="O25" s="185">
        <f t="shared" si="11"/>
        <v>0.09</v>
      </c>
      <c r="P25" s="68">
        <f t="shared" si="8"/>
        <v>1.2000000000000002</v>
      </c>
      <c r="Q25" s="62">
        <f t="shared" si="12"/>
        <v>0.08</v>
      </c>
      <c r="R25" s="150">
        <f t="shared" si="9"/>
        <v>2.7</v>
      </c>
      <c r="S25" s="62">
        <f>ROUND(R25/R$26*100,2)</f>
        <v>0.08</v>
      </c>
    </row>
    <row r="26" spans="1:19" ht="12.75" customHeight="1">
      <c r="A26" s="313" t="s">
        <v>564</v>
      </c>
      <c r="B26" s="314">
        <f t="shared" ref="B26:S26" si="17">SUM(B8:B25)</f>
        <v>1515.4</v>
      </c>
      <c r="C26" s="315">
        <f t="shared" si="17"/>
        <v>100.00000000000001</v>
      </c>
      <c r="D26" s="314">
        <f t="shared" si="17"/>
        <v>1442</v>
      </c>
      <c r="E26" s="315">
        <f t="shared" si="17"/>
        <v>100.00125</v>
      </c>
      <c r="F26" s="314">
        <f t="shared" si="17"/>
        <v>2957.4000000000005</v>
      </c>
      <c r="G26" s="315">
        <f t="shared" si="17"/>
        <v>99.999999999999986</v>
      </c>
      <c r="H26" s="314">
        <f t="shared" si="17"/>
        <v>120.6</v>
      </c>
      <c r="I26" s="315">
        <f t="shared" si="17"/>
        <v>99.999999999999986</v>
      </c>
      <c r="J26" s="314">
        <f t="shared" si="17"/>
        <v>114.69999999999999</v>
      </c>
      <c r="K26" s="315">
        <f t="shared" si="17"/>
        <v>99.999999999999986</v>
      </c>
      <c r="L26" s="314">
        <f t="shared" si="17"/>
        <v>235.30000000000004</v>
      </c>
      <c r="M26" s="315">
        <f t="shared" si="17"/>
        <v>100</v>
      </c>
      <c r="N26" s="314">
        <f t="shared" si="17"/>
        <v>1636</v>
      </c>
      <c r="O26" s="315">
        <f t="shared" si="17"/>
        <v>100.00000000000001</v>
      </c>
      <c r="P26" s="314">
        <f t="shared" si="17"/>
        <v>1556.6999999999998</v>
      </c>
      <c r="Q26" s="315">
        <f t="shared" si="17"/>
        <v>100.00000000000001</v>
      </c>
      <c r="R26" s="314">
        <f t="shared" si="17"/>
        <v>3192.7</v>
      </c>
      <c r="S26" s="315">
        <f t="shared" si="17"/>
        <v>100</v>
      </c>
    </row>
    <row r="27" spans="1:19" ht="12.75" customHeight="1">
      <c r="A27" s="326"/>
      <c r="N27" s="830"/>
      <c r="O27" s="830"/>
      <c r="P27" s="830"/>
      <c r="Q27" s="830"/>
      <c r="R27" s="830"/>
      <c r="S27" s="715" t="s">
        <v>608</v>
      </c>
    </row>
    <row r="28" spans="1:19" ht="12.75" customHeight="1"/>
    <row r="29" spans="1:19" ht="12.75" customHeight="1"/>
    <row r="30" spans="1:19" ht="12.75" customHeight="1"/>
    <row r="31" spans="1:19" ht="12.75" customHeight="1"/>
    <row r="32" spans="1:19"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sheetData>
  <mergeCells count="15">
    <mergeCell ref="A1:S1"/>
    <mergeCell ref="A2:S2"/>
    <mergeCell ref="L5:M5"/>
    <mergeCell ref="D5:E5"/>
    <mergeCell ref="A4:A6"/>
    <mergeCell ref="H4:M4"/>
    <mergeCell ref="N4:S4"/>
    <mergeCell ref="B4:G4"/>
    <mergeCell ref="B5:C5"/>
    <mergeCell ref="P5:Q5"/>
    <mergeCell ref="R5:S5"/>
    <mergeCell ref="F5:G5"/>
    <mergeCell ref="H5:I5"/>
    <mergeCell ref="J5:K5"/>
    <mergeCell ref="N5:O5"/>
  </mergeCells>
  <phoneticPr fontId="0" type="noConversion"/>
  <printOptions horizontalCentered="1"/>
  <pageMargins left="0.1" right="0.1" top="1.01" bottom="0.14000000000000001" header="0.37" footer="0.14000000000000001"/>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sheetPr codeName="Sheet14"/>
  <dimension ref="A1:S29"/>
  <sheetViews>
    <sheetView workbookViewId="0">
      <selection activeCell="U11" sqref="U11"/>
    </sheetView>
  </sheetViews>
  <sheetFormatPr defaultRowHeight="12.75"/>
  <cols>
    <col min="1" max="1" width="8.85546875" style="172" customWidth="1"/>
    <col min="2" max="2" width="9" style="172" customWidth="1"/>
    <col min="3" max="3" width="7.140625" style="172" customWidth="1"/>
    <col min="4" max="4" width="9" style="172" customWidth="1"/>
    <col min="5" max="5" width="7.42578125" style="172" customWidth="1"/>
    <col min="6" max="6" width="9.28515625" style="172" customWidth="1"/>
    <col min="7" max="7" width="6.7109375" style="172" customWidth="1"/>
    <col min="8" max="8" width="7.5703125" style="172" customWidth="1"/>
    <col min="9" max="9" width="7.7109375" style="172" customWidth="1"/>
    <col min="10" max="10" width="8" style="172" customWidth="1"/>
    <col min="11" max="11" width="7.140625" style="172" customWidth="1"/>
    <col min="12" max="12" width="7.42578125" style="172" customWidth="1"/>
    <col min="13" max="13" width="6.7109375" style="172" customWidth="1"/>
    <col min="14" max="14" width="8.7109375" style="172" customWidth="1"/>
    <col min="15" max="15" width="7" style="172" customWidth="1"/>
    <col min="16" max="16" width="9" style="172" customWidth="1"/>
    <col min="17" max="17" width="6.85546875" style="172" customWidth="1"/>
    <col min="18" max="18" width="9" style="172" customWidth="1"/>
    <col min="19" max="19" width="6.7109375" style="172" customWidth="1"/>
    <col min="20" max="16384" width="9.140625" style="172"/>
  </cols>
  <sheetData>
    <row r="1" spans="1:19" ht="15" customHeight="1">
      <c r="A1" s="1181" t="s">
        <v>1600</v>
      </c>
      <c r="B1" s="1183"/>
      <c r="C1" s="1183"/>
      <c r="D1" s="1183"/>
      <c r="E1" s="1183"/>
      <c r="F1" s="1183"/>
      <c r="G1" s="1183"/>
      <c r="H1" s="1183"/>
      <c r="I1" s="1183"/>
      <c r="J1" s="1183"/>
      <c r="K1" s="1183"/>
      <c r="L1" s="1183"/>
      <c r="M1" s="1183"/>
      <c r="N1" s="1183"/>
      <c r="O1" s="1183"/>
      <c r="P1" s="1183"/>
      <c r="Q1" s="1183"/>
      <c r="R1" s="1183"/>
      <c r="S1" s="1183"/>
    </row>
    <row r="2" spans="1:19" s="206" customFormat="1" ht="18" customHeight="1">
      <c r="A2" s="1231" t="str">
        <f>CONCATENATE("Distribution of Population by sex and by age group in the district of ",District!$A$1,", 2011")</f>
        <v>Distribution of Population by sex and by age group in the district of Bankura, 2011</v>
      </c>
      <c r="B2" s="1231"/>
      <c r="C2" s="1231"/>
      <c r="D2" s="1231"/>
      <c r="E2" s="1231"/>
      <c r="F2" s="1231"/>
      <c r="G2" s="1231"/>
      <c r="H2" s="1231"/>
      <c r="I2" s="1231"/>
      <c r="J2" s="1231"/>
      <c r="K2" s="1231"/>
      <c r="L2" s="1231"/>
      <c r="M2" s="1231"/>
      <c r="N2" s="1231"/>
      <c r="O2" s="1231"/>
      <c r="P2" s="1231"/>
      <c r="Q2" s="1231"/>
      <c r="R2" s="1231"/>
      <c r="S2" s="1231"/>
    </row>
    <row r="3" spans="1:19" ht="12.75" customHeight="1">
      <c r="A3" s="206"/>
      <c r="B3" s="289"/>
      <c r="C3" s="206"/>
      <c r="D3" s="206"/>
      <c r="E3" s="206"/>
      <c r="F3" s="206"/>
      <c r="G3" s="206"/>
      <c r="H3" s="206"/>
      <c r="I3" s="206"/>
      <c r="J3" s="206"/>
      <c r="K3" s="206"/>
      <c r="L3" s="206"/>
      <c r="M3" s="206"/>
      <c r="N3" s="206"/>
      <c r="O3" s="206"/>
      <c r="P3" s="206"/>
      <c r="Q3" s="289"/>
      <c r="R3" s="289"/>
      <c r="S3" s="198" t="s">
        <v>1103</v>
      </c>
    </row>
    <row r="4" spans="1:19" ht="15" customHeight="1">
      <c r="A4" s="1232" t="s">
        <v>535</v>
      </c>
      <c r="B4" s="1191" t="s">
        <v>1251</v>
      </c>
      <c r="C4" s="1191"/>
      <c r="D4" s="1191"/>
      <c r="E4" s="1191"/>
      <c r="F4" s="1191"/>
      <c r="G4" s="1192"/>
      <c r="H4" s="1193" t="s">
        <v>1252</v>
      </c>
      <c r="I4" s="1191"/>
      <c r="J4" s="1191"/>
      <c r="K4" s="1191"/>
      <c r="L4" s="1191"/>
      <c r="M4" s="1192"/>
      <c r="N4" s="1191" t="s">
        <v>75</v>
      </c>
      <c r="O4" s="1191"/>
      <c r="P4" s="1191"/>
      <c r="Q4" s="1191"/>
      <c r="R4" s="1191"/>
      <c r="S4" s="1192"/>
    </row>
    <row r="5" spans="1:19" ht="15" customHeight="1">
      <c r="A5" s="1233"/>
      <c r="B5" s="1191" t="s">
        <v>531</v>
      </c>
      <c r="C5" s="1192"/>
      <c r="D5" s="1193" t="s">
        <v>532</v>
      </c>
      <c r="E5" s="1192"/>
      <c r="F5" s="1191" t="s">
        <v>439</v>
      </c>
      <c r="G5" s="1192"/>
      <c r="H5" s="1193" t="s">
        <v>531</v>
      </c>
      <c r="I5" s="1192"/>
      <c r="J5" s="1193" t="s">
        <v>532</v>
      </c>
      <c r="K5" s="1192"/>
      <c r="L5" s="1191" t="s">
        <v>439</v>
      </c>
      <c r="M5" s="1192"/>
      <c r="N5" s="1193" t="s">
        <v>531</v>
      </c>
      <c r="O5" s="1192"/>
      <c r="P5" s="1193" t="s">
        <v>532</v>
      </c>
      <c r="Q5" s="1192"/>
      <c r="R5" s="1193" t="s">
        <v>439</v>
      </c>
      <c r="S5" s="1192"/>
    </row>
    <row r="6" spans="1:19" ht="15" customHeight="1">
      <c r="A6" s="1234"/>
      <c r="B6" s="24" t="s">
        <v>454</v>
      </c>
      <c r="C6" s="39" t="s">
        <v>536</v>
      </c>
      <c r="D6" s="29" t="s">
        <v>454</v>
      </c>
      <c r="E6" s="39" t="s">
        <v>536</v>
      </c>
      <c r="F6" s="24" t="s">
        <v>454</v>
      </c>
      <c r="G6" s="39" t="s">
        <v>536</v>
      </c>
      <c r="H6" s="29" t="s">
        <v>454</v>
      </c>
      <c r="I6" s="39" t="s">
        <v>536</v>
      </c>
      <c r="J6" s="29" t="s">
        <v>454</v>
      </c>
      <c r="K6" s="39" t="s">
        <v>536</v>
      </c>
      <c r="L6" s="24" t="s">
        <v>454</v>
      </c>
      <c r="M6" s="39" t="s">
        <v>536</v>
      </c>
      <c r="N6" s="29" t="s">
        <v>454</v>
      </c>
      <c r="O6" s="39" t="s">
        <v>536</v>
      </c>
      <c r="P6" s="29" t="s">
        <v>454</v>
      </c>
      <c r="Q6" s="39" t="s">
        <v>536</v>
      </c>
      <c r="R6" s="1138" t="s">
        <v>454</v>
      </c>
      <c r="S6" s="1139" t="s">
        <v>536</v>
      </c>
    </row>
    <row r="7" spans="1:19" ht="15" customHeight="1">
      <c r="A7" s="297" t="s">
        <v>418</v>
      </c>
      <c r="B7" s="222" t="s">
        <v>419</v>
      </c>
      <c r="C7" s="214" t="s">
        <v>420</v>
      </c>
      <c r="D7" s="221" t="s">
        <v>421</v>
      </c>
      <c r="E7" s="216" t="s">
        <v>422</v>
      </c>
      <c r="F7" s="222" t="s">
        <v>423</v>
      </c>
      <c r="G7" s="216" t="s">
        <v>424</v>
      </c>
      <c r="H7" s="221" t="s">
        <v>440</v>
      </c>
      <c r="I7" s="214" t="s">
        <v>441</v>
      </c>
      <c r="J7" s="221" t="s">
        <v>442</v>
      </c>
      <c r="K7" s="214" t="s">
        <v>443</v>
      </c>
      <c r="L7" s="222" t="s">
        <v>537</v>
      </c>
      <c r="M7" s="216" t="s">
        <v>538</v>
      </c>
      <c r="N7" s="311" t="s">
        <v>539</v>
      </c>
      <c r="O7" s="216" t="s">
        <v>540</v>
      </c>
      <c r="P7" s="311" t="s">
        <v>542</v>
      </c>
      <c r="Q7" s="216" t="s">
        <v>543</v>
      </c>
      <c r="R7" s="1140" t="s">
        <v>545</v>
      </c>
      <c r="S7" s="1141" t="s">
        <v>544</v>
      </c>
    </row>
    <row r="8" spans="1:19" ht="19.5" customHeight="1">
      <c r="A8" s="318" t="s">
        <v>546</v>
      </c>
      <c r="B8" s="896">
        <v>138724</v>
      </c>
      <c r="C8" s="185">
        <f t="shared" ref="C8:C13" si="0">ROUND(B8/B$26*100,2)</f>
        <v>8.23</v>
      </c>
      <c r="D8" s="898">
        <v>131536</v>
      </c>
      <c r="E8" s="185">
        <f>ROUND(D8/D$26*100,2)</f>
        <v>8.16</v>
      </c>
      <c r="F8" s="561">
        <f t="shared" ref="F8:F25" si="1">B8+D8</f>
        <v>270260</v>
      </c>
      <c r="G8" s="62">
        <f t="shared" ref="G8:G20" si="2">ROUND(F8/F$26*100,2)</f>
        <v>8.1999999999999993</v>
      </c>
      <c r="H8" s="898">
        <v>9418</v>
      </c>
      <c r="I8" s="185">
        <f t="shared" ref="I8:I18" si="3">ROUND(H8/H$26*100,2)</f>
        <v>6.18</v>
      </c>
      <c r="J8" s="898">
        <v>9164</v>
      </c>
      <c r="K8" s="185">
        <f t="shared" ref="K8:K25" si="4">ROUND(J8/J$26*100,2)</f>
        <v>6.21</v>
      </c>
      <c r="L8" s="561">
        <f t="shared" ref="L8:L25" si="5">H8+J8</f>
        <v>18582</v>
      </c>
      <c r="M8" s="62">
        <f t="shared" ref="M8:M16" si="6">ROUND(L8/L$26*100,2)</f>
        <v>6.2</v>
      </c>
      <c r="N8" s="899">
        <f t="shared" ref="N8:N25" si="7">B8+H8</f>
        <v>148142</v>
      </c>
      <c r="O8" s="185">
        <f>ROUND(N8/N$26*100,2)</f>
        <v>8.06</v>
      </c>
      <c r="P8" s="900">
        <f t="shared" ref="P8:P25" si="8">D8+J8</f>
        <v>140700</v>
      </c>
      <c r="Q8" s="62">
        <f t="shared" ref="Q8:Q13" si="9">ROUND(P8/P$26*100,2)</f>
        <v>8</v>
      </c>
      <c r="R8" s="1144">
        <f t="shared" ref="R8:R25" si="10">N8+P8</f>
        <v>288842</v>
      </c>
      <c r="S8" s="1143">
        <f>ROUND(R8/R$26*100,2)</f>
        <v>8.0299999999999994</v>
      </c>
    </row>
    <row r="9" spans="1:19" ht="19.5" customHeight="1">
      <c r="A9" s="322" t="s">
        <v>547</v>
      </c>
      <c r="B9" s="896">
        <v>153326</v>
      </c>
      <c r="C9" s="185">
        <f t="shared" si="0"/>
        <v>9.1</v>
      </c>
      <c r="D9" s="898">
        <v>147552</v>
      </c>
      <c r="E9" s="185">
        <f>ROUND(D9/D$26*100,5)</f>
        <v>9.1583299999999994</v>
      </c>
      <c r="F9" s="561">
        <f t="shared" si="1"/>
        <v>300878</v>
      </c>
      <c r="G9" s="62">
        <f t="shared" si="2"/>
        <v>9.1300000000000008</v>
      </c>
      <c r="H9" s="898">
        <v>10981</v>
      </c>
      <c r="I9" s="185">
        <f t="shared" si="3"/>
        <v>7.21</v>
      </c>
      <c r="J9" s="898">
        <v>10445</v>
      </c>
      <c r="K9" s="185">
        <f t="shared" si="4"/>
        <v>7.08</v>
      </c>
      <c r="L9" s="561">
        <f t="shared" si="5"/>
        <v>21426</v>
      </c>
      <c r="M9" s="62">
        <f t="shared" si="6"/>
        <v>7.15</v>
      </c>
      <c r="N9" s="899">
        <f t="shared" si="7"/>
        <v>164307</v>
      </c>
      <c r="O9" s="185">
        <f>ROUND(N9/N$26*100,2)</f>
        <v>8.94</v>
      </c>
      <c r="P9" s="900">
        <f t="shared" si="8"/>
        <v>157997</v>
      </c>
      <c r="Q9" s="62">
        <f t="shared" si="9"/>
        <v>8.98</v>
      </c>
      <c r="R9" s="1144">
        <f t="shared" si="10"/>
        <v>322304</v>
      </c>
      <c r="S9" s="1143">
        <f t="shared" ref="S9:S14" si="11">ROUND(R9/R$26*100,2)</f>
        <v>8.9600000000000009</v>
      </c>
    </row>
    <row r="10" spans="1:19" ht="19.5" customHeight="1">
      <c r="A10" s="322" t="s">
        <v>548</v>
      </c>
      <c r="B10" s="896">
        <v>170257</v>
      </c>
      <c r="C10" s="185">
        <f t="shared" si="0"/>
        <v>10.1</v>
      </c>
      <c r="D10" s="898">
        <v>162210</v>
      </c>
      <c r="E10" s="185">
        <f t="shared" ref="E10:E17" si="12">ROUND(D10/D$26*100,2)</f>
        <v>10.07</v>
      </c>
      <c r="F10" s="561">
        <f t="shared" si="1"/>
        <v>332467</v>
      </c>
      <c r="G10" s="62">
        <f t="shared" si="2"/>
        <v>10.08</v>
      </c>
      <c r="H10" s="898">
        <v>12902</v>
      </c>
      <c r="I10" s="185">
        <f t="shared" si="3"/>
        <v>8.4700000000000006</v>
      </c>
      <c r="J10" s="898">
        <v>12004</v>
      </c>
      <c r="K10" s="185">
        <f t="shared" si="4"/>
        <v>8.14</v>
      </c>
      <c r="L10" s="561">
        <f t="shared" si="5"/>
        <v>24906</v>
      </c>
      <c r="M10" s="62">
        <f t="shared" si="6"/>
        <v>8.31</v>
      </c>
      <c r="N10" s="899">
        <f t="shared" si="7"/>
        <v>183159</v>
      </c>
      <c r="O10" s="185">
        <f>ROUND(N10/N$26*100,2)+0.01</f>
        <v>9.9700000000000006</v>
      </c>
      <c r="P10" s="900">
        <f t="shared" si="8"/>
        <v>174214</v>
      </c>
      <c r="Q10" s="62">
        <f t="shared" si="9"/>
        <v>9.91</v>
      </c>
      <c r="R10" s="1144">
        <f t="shared" si="10"/>
        <v>357373</v>
      </c>
      <c r="S10" s="1143">
        <f t="shared" si="11"/>
        <v>9.94</v>
      </c>
    </row>
    <row r="11" spans="1:19" ht="19.5" customHeight="1">
      <c r="A11" s="322" t="s">
        <v>549</v>
      </c>
      <c r="B11" s="896">
        <v>171008</v>
      </c>
      <c r="C11" s="185">
        <f t="shared" si="0"/>
        <v>10.14</v>
      </c>
      <c r="D11" s="898">
        <v>143152</v>
      </c>
      <c r="E11" s="185">
        <f t="shared" si="12"/>
        <v>8.89</v>
      </c>
      <c r="F11" s="561">
        <f t="shared" si="1"/>
        <v>314160</v>
      </c>
      <c r="G11" s="62">
        <f t="shared" si="2"/>
        <v>9.5299999999999994</v>
      </c>
      <c r="H11" s="898">
        <v>13562</v>
      </c>
      <c r="I11" s="185">
        <f t="shared" si="3"/>
        <v>8.9</v>
      </c>
      <c r="J11" s="898">
        <v>12873</v>
      </c>
      <c r="K11" s="185">
        <f t="shared" si="4"/>
        <v>8.73</v>
      </c>
      <c r="L11" s="561">
        <f t="shared" si="5"/>
        <v>26435</v>
      </c>
      <c r="M11" s="62">
        <f t="shared" si="6"/>
        <v>8.82</v>
      </c>
      <c r="N11" s="899">
        <f t="shared" si="7"/>
        <v>184570</v>
      </c>
      <c r="O11" s="185">
        <f>ROUND(N11/N$26*100,2)</f>
        <v>10.039999999999999</v>
      </c>
      <c r="P11" s="900">
        <f t="shared" si="8"/>
        <v>156025</v>
      </c>
      <c r="Q11" s="62">
        <f t="shared" si="9"/>
        <v>8.8699999999999992</v>
      </c>
      <c r="R11" s="1144">
        <f t="shared" si="10"/>
        <v>340595</v>
      </c>
      <c r="S11" s="1143">
        <f t="shared" si="11"/>
        <v>9.4700000000000006</v>
      </c>
    </row>
    <row r="12" spans="1:19" ht="19.5" customHeight="1">
      <c r="A12" s="322" t="s">
        <v>550</v>
      </c>
      <c r="B12" s="896">
        <v>152712</v>
      </c>
      <c r="C12" s="185">
        <f t="shared" si="0"/>
        <v>9.06</v>
      </c>
      <c r="D12" s="898">
        <v>145736</v>
      </c>
      <c r="E12" s="185">
        <f t="shared" si="12"/>
        <v>9.0500000000000007</v>
      </c>
      <c r="F12" s="561">
        <f t="shared" si="1"/>
        <v>298448</v>
      </c>
      <c r="G12" s="62">
        <f t="shared" si="2"/>
        <v>9.0500000000000007</v>
      </c>
      <c r="H12" s="898">
        <v>13671</v>
      </c>
      <c r="I12" s="185">
        <f t="shared" si="3"/>
        <v>8.98</v>
      </c>
      <c r="J12" s="898">
        <v>13647</v>
      </c>
      <c r="K12" s="185">
        <f t="shared" si="4"/>
        <v>9.26</v>
      </c>
      <c r="L12" s="561">
        <f t="shared" si="5"/>
        <v>27318</v>
      </c>
      <c r="M12" s="62">
        <f t="shared" si="6"/>
        <v>9.11</v>
      </c>
      <c r="N12" s="899">
        <f t="shared" si="7"/>
        <v>166383</v>
      </c>
      <c r="O12" s="185">
        <f t="shared" ref="O12:O25" si="13">ROUND(N12/N$26*100,2)</f>
        <v>9.0500000000000007</v>
      </c>
      <c r="P12" s="900">
        <f t="shared" si="8"/>
        <v>159383</v>
      </c>
      <c r="Q12" s="62">
        <f t="shared" si="9"/>
        <v>9.06</v>
      </c>
      <c r="R12" s="1144">
        <f t="shared" si="10"/>
        <v>325766</v>
      </c>
      <c r="S12" s="1143">
        <f t="shared" si="11"/>
        <v>9.06</v>
      </c>
    </row>
    <row r="13" spans="1:19" ht="19.5" customHeight="1">
      <c r="A13" s="322" t="s">
        <v>551</v>
      </c>
      <c r="B13" s="896">
        <v>142501</v>
      </c>
      <c r="C13" s="185">
        <f t="shared" si="0"/>
        <v>8.4499999999999993</v>
      </c>
      <c r="D13" s="898">
        <v>138426</v>
      </c>
      <c r="E13" s="185">
        <f t="shared" si="12"/>
        <v>8.59</v>
      </c>
      <c r="F13" s="561">
        <f t="shared" si="1"/>
        <v>280927</v>
      </c>
      <c r="G13" s="62">
        <f t="shared" si="2"/>
        <v>8.52</v>
      </c>
      <c r="H13" s="898">
        <v>13196</v>
      </c>
      <c r="I13" s="185">
        <f t="shared" si="3"/>
        <v>8.66</v>
      </c>
      <c r="J13" s="898">
        <v>13332</v>
      </c>
      <c r="K13" s="185">
        <f t="shared" si="4"/>
        <v>9.0399999999999991</v>
      </c>
      <c r="L13" s="561">
        <f t="shared" si="5"/>
        <v>26528</v>
      </c>
      <c r="M13" s="62">
        <f t="shared" si="6"/>
        <v>8.85</v>
      </c>
      <c r="N13" s="899">
        <f t="shared" si="7"/>
        <v>155697</v>
      </c>
      <c r="O13" s="185">
        <f t="shared" si="13"/>
        <v>8.4700000000000006</v>
      </c>
      <c r="P13" s="900">
        <f t="shared" si="8"/>
        <v>151758</v>
      </c>
      <c r="Q13" s="62">
        <f t="shared" si="9"/>
        <v>8.6300000000000008</v>
      </c>
      <c r="R13" s="1144">
        <f t="shared" si="10"/>
        <v>307455</v>
      </c>
      <c r="S13" s="1143">
        <f t="shared" si="11"/>
        <v>8.5500000000000007</v>
      </c>
    </row>
    <row r="14" spans="1:19" ht="19.5" customHeight="1">
      <c r="A14" s="322" t="s">
        <v>552</v>
      </c>
      <c r="B14" s="896">
        <v>126076</v>
      </c>
      <c r="C14" s="185">
        <f>ROUND(B14/B$26*100,2)</f>
        <v>7.48</v>
      </c>
      <c r="D14" s="898">
        <v>125117</v>
      </c>
      <c r="E14" s="185">
        <f t="shared" si="12"/>
        <v>7.77</v>
      </c>
      <c r="F14" s="561">
        <f t="shared" si="1"/>
        <v>251193</v>
      </c>
      <c r="G14" s="62">
        <f t="shared" si="2"/>
        <v>7.62</v>
      </c>
      <c r="H14" s="898">
        <v>12381</v>
      </c>
      <c r="I14" s="185">
        <f t="shared" si="3"/>
        <v>8.1300000000000008</v>
      </c>
      <c r="J14" s="898">
        <v>12319</v>
      </c>
      <c r="K14" s="185">
        <f t="shared" si="4"/>
        <v>8.35</v>
      </c>
      <c r="L14" s="561">
        <f t="shared" si="5"/>
        <v>24700</v>
      </c>
      <c r="M14" s="62">
        <f t="shared" si="6"/>
        <v>8.24</v>
      </c>
      <c r="N14" s="899">
        <f t="shared" si="7"/>
        <v>138457</v>
      </c>
      <c r="O14" s="185">
        <f t="shared" si="13"/>
        <v>7.53</v>
      </c>
      <c r="P14" s="900">
        <f t="shared" si="8"/>
        <v>137436</v>
      </c>
      <c r="Q14" s="62">
        <f t="shared" ref="Q14:Q25" si="14">ROUND(P14/P$26*100,2)</f>
        <v>7.82</v>
      </c>
      <c r="R14" s="1144">
        <f t="shared" si="10"/>
        <v>275893</v>
      </c>
      <c r="S14" s="1143">
        <f t="shared" si="11"/>
        <v>7.67</v>
      </c>
    </row>
    <row r="15" spans="1:19" ht="19.5" customHeight="1">
      <c r="A15" s="322" t="s">
        <v>553</v>
      </c>
      <c r="B15" s="896">
        <v>130217</v>
      </c>
      <c r="C15" s="185">
        <f t="shared" ref="C15:C25" si="15">ROUND(B15/B$26*100,2)</f>
        <v>7.72</v>
      </c>
      <c r="D15" s="898">
        <v>126908</v>
      </c>
      <c r="E15" s="185">
        <f t="shared" si="12"/>
        <v>7.88</v>
      </c>
      <c r="F15" s="561">
        <f t="shared" si="1"/>
        <v>257125</v>
      </c>
      <c r="G15" s="62">
        <f t="shared" si="2"/>
        <v>7.8</v>
      </c>
      <c r="H15" s="898">
        <v>12516</v>
      </c>
      <c r="I15" s="185">
        <f t="shared" si="3"/>
        <v>8.2200000000000006</v>
      </c>
      <c r="J15" s="898">
        <v>12749</v>
      </c>
      <c r="K15" s="185">
        <f t="shared" si="4"/>
        <v>8.65</v>
      </c>
      <c r="L15" s="561">
        <f t="shared" si="5"/>
        <v>25265</v>
      </c>
      <c r="M15" s="62">
        <f t="shared" si="6"/>
        <v>8.43</v>
      </c>
      <c r="N15" s="899">
        <f t="shared" si="7"/>
        <v>142733</v>
      </c>
      <c r="O15" s="185">
        <f t="shared" si="13"/>
        <v>7.77</v>
      </c>
      <c r="P15" s="900">
        <f t="shared" si="8"/>
        <v>139657</v>
      </c>
      <c r="Q15" s="62">
        <f t="shared" si="14"/>
        <v>7.94</v>
      </c>
      <c r="R15" s="1144">
        <f t="shared" si="10"/>
        <v>282390</v>
      </c>
      <c r="S15" s="1143">
        <f>ROUND(R15/R$26*100,2)</f>
        <v>7.85</v>
      </c>
    </row>
    <row r="16" spans="1:19" ht="19.5" customHeight="1">
      <c r="A16" s="322" t="s">
        <v>554</v>
      </c>
      <c r="B16" s="896">
        <v>114887</v>
      </c>
      <c r="C16" s="185">
        <f>ROUND(B16/B$26*100,2)-0.01</f>
        <v>6.8100000000000005</v>
      </c>
      <c r="D16" s="898">
        <v>104139</v>
      </c>
      <c r="E16" s="185">
        <f t="shared" si="12"/>
        <v>6.46</v>
      </c>
      <c r="F16" s="561">
        <f t="shared" si="1"/>
        <v>219026</v>
      </c>
      <c r="G16" s="62">
        <f t="shared" si="2"/>
        <v>6.64</v>
      </c>
      <c r="H16" s="898">
        <v>11703</v>
      </c>
      <c r="I16" s="185">
        <f t="shared" si="3"/>
        <v>7.68</v>
      </c>
      <c r="J16" s="898">
        <v>10669</v>
      </c>
      <c r="K16" s="185">
        <f t="shared" si="4"/>
        <v>7.24</v>
      </c>
      <c r="L16" s="561">
        <f t="shared" si="5"/>
        <v>22372</v>
      </c>
      <c r="M16" s="62">
        <f t="shared" si="6"/>
        <v>7.46</v>
      </c>
      <c r="N16" s="899">
        <f t="shared" si="7"/>
        <v>126590</v>
      </c>
      <c r="O16" s="185">
        <f t="shared" si="13"/>
        <v>6.89</v>
      </c>
      <c r="P16" s="900">
        <f t="shared" si="8"/>
        <v>114808</v>
      </c>
      <c r="Q16" s="62">
        <f t="shared" si="14"/>
        <v>6.53</v>
      </c>
      <c r="R16" s="1144">
        <f t="shared" si="10"/>
        <v>241398</v>
      </c>
      <c r="S16" s="1143">
        <f t="shared" ref="S16:S21" si="16">ROUND(R16/R$26*100,2)</f>
        <v>6.71</v>
      </c>
    </row>
    <row r="17" spans="1:19" ht="19.5" customHeight="1">
      <c r="A17" s="322" t="s">
        <v>555</v>
      </c>
      <c r="B17" s="824">
        <v>102473</v>
      </c>
      <c r="C17" s="185">
        <f t="shared" si="15"/>
        <v>6.08</v>
      </c>
      <c r="D17" s="895">
        <v>92199</v>
      </c>
      <c r="E17" s="185">
        <f t="shared" si="12"/>
        <v>5.72</v>
      </c>
      <c r="F17" s="561">
        <f t="shared" si="1"/>
        <v>194672</v>
      </c>
      <c r="G17" s="62">
        <f t="shared" si="2"/>
        <v>5.9</v>
      </c>
      <c r="H17" s="895">
        <v>10577</v>
      </c>
      <c r="I17" s="185">
        <f>ROUND(H17/H$26*100,2)+0.01</f>
        <v>6.95</v>
      </c>
      <c r="J17" s="895">
        <v>9834</v>
      </c>
      <c r="K17" s="185">
        <f t="shared" si="4"/>
        <v>6.67</v>
      </c>
      <c r="L17" s="561">
        <f t="shared" si="5"/>
        <v>20411</v>
      </c>
      <c r="M17" s="62">
        <f t="shared" ref="M17:M25" si="17">ROUND(L17/L$26*100,2)</f>
        <v>6.81</v>
      </c>
      <c r="N17" s="899">
        <f t="shared" si="7"/>
        <v>113050</v>
      </c>
      <c r="O17" s="185">
        <f t="shared" si="13"/>
        <v>6.15</v>
      </c>
      <c r="P17" s="900">
        <f t="shared" si="8"/>
        <v>102033</v>
      </c>
      <c r="Q17" s="62">
        <f t="shared" si="14"/>
        <v>5.8</v>
      </c>
      <c r="R17" s="1144">
        <f t="shared" si="10"/>
        <v>215083</v>
      </c>
      <c r="S17" s="1143">
        <f t="shared" si="16"/>
        <v>5.98</v>
      </c>
    </row>
    <row r="18" spans="1:19" ht="19.5" customHeight="1">
      <c r="A18" s="322" t="s">
        <v>556</v>
      </c>
      <c r="B18" s="824">
        <v>80601</v>
      </c>
      <c r="C18" s="185">
        <f t="shared" si="15"/>
        <v>4.78</v>
      </c>
      <c r="D18" s="895">
        <v>70627</v>
      </c>
      <c r="E18" s="185">
        <f t="shared" ref="E18:E25" si="18">ROUND(D18/D$26*100,2)</f>
        <v>4.38</v>
      </c>
      <c r="F18" s="561">
        <f t="shared" si="1"/>
        <v>151228</v>
      </c>
      <c r="G18" s="62">
        <f t="shared" si="2"/>
        <v>4.59</v>
      </c>
      <c r="H18" s="895">
        <v>8708</v>
      </c>
      <c r="I18" s="185">
        <f t="shared" si="3"/>
        <v>5.72</v>
      </c>
      <c r="J18" s="895">
        <v>7895</v>
      </c>
      <c r="K18" s="185">
        <f t="shared" si="4"/>
        <v>5.35</v>
      </c>
      <c r="L18" s="561">
        <f t="shared" si="5"/>
        <v>16603</v>
      </c>
      <c r="M18" s="62">
        <f t="shared" si="17"/>
        <v>5.54</v>
      </c>
      <c r="N18" s="899">
        <f t="shared" si="7"/>
        <v>89309</v>
      </c>
      <c r="O18" s="185">
        <f t="shared" si="13"/>
        <v>4.8600000000000003</v>
      </c>
      <c r="P18" s="900">
        <f t="shared" si="8"/>
        <v>78522</v>
      </c>
      <c r="Q18" s="62">
        <f t="shared" si="14"/>
        <v>4.47</v>
      </c>
      <c r="R18" s="1144">
        <f t="shared" si="10"/>
        <v>167831</v>
      </c>
      <c r="S18" s="1143">
        <f t="shared" si="16"/>
        <v>4.67</v>
      </c>
    </row>
    <row r="19" spans="1:19" ht="19.5" customHeight="1">
      <c r="A19" s="322" t="s">
        <v>557</v>
      </c>
      <c r="B19" s="824">
        <v>63159</v>
      </c>
      <c r="C19" s="185">
        <f t="shared" si="15"/>
        <v>3.75</v>
      </c>
      <c r="D19" s="895">
        <v>59335</v>
      </c>
      <c r="E19" s="185">
        <f t="shared" si="18"/>
        <v>3.68</v>
      </c>
      <c r="F19" s="561">
        <f t="shared" si="1"/>
        <v>122494</v>
      </c>
      <c r="G19" s="62">
        <f t="shared" si="2"/>
        <v>3.72</v>
      </c>
      <c r="H19" s="895">
        <v>7249</v>
      </c>
      <c r="I19" s="185">
        <f>ROUND(H19/H$26*100,2)</f>
        <v>4.76</v>
      </c>
      <c r="J19" s="895">
        <v>6434</v>
      </c>
      <c r="K19" s="185">
        <f t="shared" si="4"/>
        <v>4.3600000000000003</v>
      </c>
      <c r="L19" s="561">
        <f t="shared" si="5"/>
        <v>13683</v>
      </c>
      <c r="M19" s="62">
        <f t="shared" si="17"/>
        <v>4.5599999999999996</v>
      </c>
      <c r="N19" s="899">
        <f t="shared" si="7"/>
        <v>70408</v>
      </c>
      <c r="O19" s="185">
        <f t="shared" si="13"/>
        <v>3.83</v>
      </c>
      <c r="P19" s="900">
        <f t="shared" si="8"/>
        <v>65769</v>
      </c>
      <c r="Q19" s="62">
        <f t="shared" si="14"/>
        <v>3.74</v>
      </c>
      <c r="R19" s="1144">
        <f t="shared" si="10"/>
        <v>136177</v>
      </c>
      <c r="S19" s="1143">
        <f t="shared" si="16"/>
        <v>3.79</v>
      </c>
    </row>
    <row r="20" spans="1:19" ht="19.5" customHeight="1">
      <c r="A20" s="322" t="s">
        <v>558</v>
      </c>
      <c r="B20" s="824">
        <v>51007</v>
      </c>
      <c r="C20" s="185">
        <f t="shared" si="15"/>
        <v>3.03</v>
      </c>
      <c r="D20" s="895">
        <v>56027</v>
      </c>
      <c r="E20" s="185">
        <f t="shared" si="18"/>
        <v>3.48</v>
      </c>
      <c r="F20" s="561">
        <f t="shared" si="1"/>
        <v>107034</v>
      </c>
      <c r="G20" s="62">
        <f t="shared" si="2"/>
        <v>3.25</v>
      </c>
      <c r="H20" s="895">
        <v>5502</v>
      </c>
      <c r="I20" s="185">
        <f t="shared" ref="I20:I25" si="19">ROUND(H20/H$26*100,2)</f>
        <v>3.61</v>
      </c>
      <c r="J20" s="895">
        <v>5444</v>
      </c>
      <c r="K20" s="185">
        <f t="shared" si="4"/>
        <v>3.69</v>
      </c>
      <c r="L20" s="561">
        <f t="shared" si="5"/>
        <v>10946</v>
      </c>
      <c r="M20" s="62">
        <f t="shared" si="17"/>
        <v>3.65</v>
      </c>
      <c r="N20" s="899">
        <f t="shared" si="7"/>
        <v>56509</v>
      </c>
      <c r="O20" s="185">
        <f t="shared" si="13"/>
        <v>3.07</v>
      </c>
      <c r="P20" s="900">
        <f t="shared" si="8"/>
        <v>61471</v>
      </c>
      <c r="Q20" s="62">
        <f t="shared" si="14"/>
        <v>3.5</v>
      </c>
      <c r="R20" s="1144">
        <f t="shared" si="10"/>
        <v>117980</v>
      </c>
      <c r="S20" s="1143">
        <f t="shared" si="16"/>
        <v>3.28</v>
      </c>
    </row>
    <row r="21" spans="1:19" ht="19.5" customHeight="1">
      <c r="A21" s="322" t="s">
        <v>559</v>
      </c>
      <c r="B21" s="824">
        <v>37502</v>
      </c>
      <c r="C21" s="185">
        <f t="shared" si="15"/>
        <v>2.2200000000000002</v>
      </c>
      <c r="D21" s="895">
        <v>44538</v>
      </c>
      <c r="E21" s="185">
        <f t="shared" si="18"/>
        <v>2.76</v>
      </c>
      <c r="F21" s="561">
        <f t="shared" si="1"/>
        <v>82040</v>
      </c>
      <c r="G21" s="62">
        <f>ROUND(F21/F$26*100,2)</f>
        <v>2.4900000000000002</v>
      </c>
      <c r="H21" s="895">
        <v>4166</v>
      </c>
      <c r="I21" s="185">
        <f t="shared" si="19"/>
        <v>2.74</v>
      </c>
      <c r="J21" s="895">
        <v>4244</v>
      </c>
      <c r="K21" s="185">
        <f t="shared" si="4"/>
        <v>2.88</v>
      </c>
      <c r="L21" s="561">
        <f t="shared" si="5"/>
        <v>8410</v>
      </c>
      <c r="M21" s="62">
        <f t="shared" si="17"/>
        <v>2.81</v>
      </c>
      <c r="N21" s="899">
        <f t="shared" si="7"/>
        <v>41668</v>
      </c>
      <c r="O21" s="185">
        <f t="shared" si="13"/>
        <v>2.27</v>
      </c>
      <c r="P21" s="900">
        <f t="shared" si="8"/>
        <v>48782</v>
      </c>
      <c r="Q21" s="62">
        <f t="shared" si="14"/>
        <v>2.77</v>
      </c>
      <c r="R21" s="1144">
        <f t="shared" si="10"/>
        <v>90450</v>
      </c>
      <c r="S21" s="1143">
        <f t="shared" si="16"/>
        <v>2.5099999999999998</v>
      </c>
    </row>
    <row r="22" spans="1:19" ht="19.5" customHeight="1">
      <c r="A22" s="322" t="s">
        <v>565</v>
      </c>
      <c r="B22" s="824">
        <v>25906</v>
      </c>
      <c r="C22" s="185">
        <f t="shared" si="15"/>
        <v>1.54</v>
      </c>
      <c r="D22" s="895">
        <v>30927</v>
      </c>
      <c r="E22" s="185">
        <f t="shared" si="18"/>
        <v>1.92</v>
      </c>
      <c r="F22" s="561">
        <f t="shared" si="1"/>
        <v>56833</v>
      </c>
      <c r="G22" s="62">
        <f>ROUND(F22/F$26*100,2)</f>
        <v>1.72</v>
      </c>
      <c r="H22" s="895">
        <v>2824</v>
      </c>
      <c r="I22" s="185">
        <f t="shared" si="19"/>
        <v>1.85</v>
      </c>
      <c r="J22" s="895">
        <v>2889</v>
      </c>
      <c r="K22" s="185">
        <f t="shared" si="4"/>
        <v>1.96</v>
      </c>
      <c r="L22" s="561">
        <f t="shared" si="5"/>
        <v>5713</v>
      </c>
      <c r="M22" s="62">
        <f t="shared" si="17"/>
        <v>1.91</v>
      </c>
      <c r="N22" s="899">
        <f t="shared" si="7"/>
        <v>28730</v>
      </c>
      <c r="O22" s="185">
        <f t="shared" si="13"/>
        <v>1.56</v>
      </c>
      <c r="P22" s="900">
        <f t="shared" si="8"/>
        <v>33816</v>
      </c>
      <c r="Q22" s="62">
        <f t="shared" si="14"/>
        <v>1.92</v>
      </c>
      <c r="R22" s="1144">
        <f t="shared" si="10"/>
        <v>62546</v>
      </c>
      <c r="S22" s="1143">
        <f>ROUND(R22/R$26*100,2)</f>
        <v>1.74</v>
      </c>
    </row>
    <row r="23" spans="1:19" ht="19.5" customHeight="1">
      <c r="A23" s="322" t="s">
        <v>566</v>
      </c>
      <c r="B23" s="824">
        <v>12847</v>
      </c>
      <c r="C23" s="185">
        <f t="shared" si="15"/>
        <v>0.76</v>
      </c>
      <c r="D23" s="895">
        <v>15950</v>
      </c>
      <c r="E23" s="185">
        <f t="shared" si="18"/>
        <v>0.99</v>
      </c>
      <c r="F23" s="561">
        <f t="shared" si="1"/>
        <v>28797</v>
      </c>
      <c r="G23" s="62">
        <f>ROUND(F23/F$26*100,2)</f>
        <v>0.87</v>
      </c>
      <c r="H23" s="895">
        <v>1452</v>
      </c>
      <c r="I23" s="185">
        <f t="shared" si="19"/>
        <v>0.95</v>
      </c>
      <c r="J23" s="895">
        <v>1592</v>
      </c>
      <c r="K23" s="185">
        <f t="shared" si="4"/>
        <v>1.08</v>
      </c>
      <c r="L23" s="561">
        <f t="shared" si="5"/>
        <v>3044</v>
      </c>
      <c r="M23" s="62">
        <f>ROUND(L23/L$26*100,2)-0.01</f>
        <v>1.01</v>
      </c>
      <c r="N23" s="899">
        <f t="shared" si="7"/>
        <v>14299</v>
      </c>
      <c r="O23" s="185">
        <f t="shared" si="13"/>
        <v>0.78</v>
      </c>
      <c r="P23" s="900">
        <f t="shared" si="8"/>
        <v>17542</v>
      </c>
      <c r="Q23" s="62">
        <f t="shared" si="14"/>
        <v>1</v>
      </c>
      <c r="R23" s="1144">
        <f t="shared" si="10"/>
        <v>31841</v>
      </c>
      <c r="S23" s="1143">
        <f>ROUND(R23/R$26*100,2)-0.01</f>
        <v>0.88</v>
      </c>
    </row>
    <row r="24" spans="1:19" ht="19.5" customHeight="1">
      <c r="A24" s="322" t="s">
        <v>567</v>
      </c>
      <c r="B24" s="824">
        <v>11774</v>
      </c>
      <c r="C24" s="185">
        <f t="shared" si="15"/>
        <v>0.7</v>
      </c>
      <c r="D24" s="895">
        <v>16111</v>
      </c>
      <c r="E24" s="185">
        <f t="shared" si="18"/>
        <v>1</v>
      </c>
      <c r="F24" s="561">
        <f t="shared" si="1"/>
        <v>27885</v>
      </c>
      <c r="G24" s="62">
        <f>ROUND(F24/F$26*100,2)</f>
        <v>0.85</v>
      </c>
      <c r="H24" s="895">
        <v>1358</v>
      </c>
      <c r="I24" s="185">
        <f t="shared" si="19"/>
        <v>0.89</v>
      </c>
      <c r="J24" s="895">
        <v>1766</v>
      </c>
      <c r="K24" s="185">
        <f t="shared" si="4"/>
        <v>1.2</v>
      </c>
      <c r="L24" s="561">
        <f t="shared" si="5"/>
        <v>3124</v>
      </c>
      <c r="M24" s="62">
        <f t="shared" si="17"/>
        <v>1.04</v>
      </c>
      <c r="N24" s="899">
        <f t="shared" si="7"/>
        <v>13132</v>
      </c>
      <c r="O24" s="185">
        <f t="shared" si="13"/>
        <v>0.71</v>
      </c>
      <c r="P24" s="900">
        <f t="shared" si="8"/>
        <v>17877</v>
      </c>
      <c r="Q24" s="62">
        <f t="shared" si="14"/>
        <v>1.02</v>
      </c>
      <c r="R24" s="1144">
        <f t="shared" si="10"/>
        <v>31009</v>
      </c>
      <c r="S24" s="1143">
        <f>ROUND(R24/R$26*100,2)</f>
        <v>0.86</v>
      </c>
    </row>
    <row r="25" spans="1:19" ht="27.95" customHeight="1">
      <c r="A25" s="325" t="s">
        <v>563</v>
      </c>
      <c r="B25" s="824">
        <v>800</v>
      </c>
      <c r="C25" s="185">
        <f t="shared" si="15"/>
        <v>0.05</v>
      </c>
      <c r="D25" s="895">
        <v>634</v>
      </c>
      <c r="E25" s="185">
        <f t="shared" si="18"/>
        <v>0.04</v>
      </c>
      <c r="F25" s="561">
        <f t="shared" si="1"/>
        <v>1434</v>
      </c>
      <c r="G25" s="62">
        <f>ROUND(F25/F$26*100,2)</f>
        <v>0.04</v>
      </c>
      <c r="H25" s="895">
        <v>152</v>
      </c>
      <c r="I25" s="185">
        <f t="shared" si="19"/>
        <v>0.1</v>
      </c>
      <c r="J25" s="895">
        <v>155</v>
      </c>
      <c r="K25" s="185">
        <f t="shared" si="4"/>
        <v>0.11</v>
      </c>
      <c r="L25" s="561">
        <f t="shared" si="5"/>
        <v>307</v>
      </c>
      <c r="M25" s="62">
        <f t="shared" si="17"/>
        <v>0.1</v>
      </c>
      <c r="N25" s="899">
        <f t="shared" si="7"/>
        <v>952</v>
      </c>
      <c r="O25" s="185">
        <f t="shared" si="13"/>
        <v>0.05</v>
      </c>
      <c r="P25" s="900">
        <f t="shared" si="8"/>
        <v>789</v>
      </c>
      <c r="Q25" s="62">
        <f t="shared" si="14"/>
        <v>0.04</v>
      </c>
      <c r="R25" s="1144">
        <f t="shared" si="10"/>
        <v>1741</v>
      </c>
      <c r="S25" s="1143">
        <f>ROUND(R25/R$26*100,2)</f>
        <v>0.05</v>
      </c>
    </row>
    <row r="26" spans="1:19" ht="23.25" customHeight="1">
      <c r="A26" s="313" t="s">
        <v>564</v>
      </c>
      <c r="B26" s="897">
        <f t="shared" ref="B26:S26" si="20">SUM(B8:B25)</f>
        <v>1685777</v>
      </c>
      <c r="C26" s="315">
        <f t="shared" si="20"/>
        <v>100.00000000000001</v>
      </c>
      <c r="D26" s="897">
        <f t="shared" si="20"/>
        <v>1611124</v>
      </c>
      <c r="E26" s="315">
        <f t="shared" si="20"/>
        <v>99.998329999999996</v>
      </c>
      <c r="F26" s="897">
        <f t="shared" si="20"/>
        <v>3296901</v>
      </c>
      <c r="G26" s="315">
        <f t="shared" si="20"/>
        <v>100</v>
      </c>
      <c r="H26" s="897">
        <f t="shared" si="20"/>
        <v>152318</v>
      </c>
      <c r="I26" s="315">
        <f t="shared" si="20"/>
        <v>100</v>
      </c>
      <c r="J26" s="897">
        <f t="shared" si="20"/>
        <v>147455</v>
      </c>
      <c r="K26" s="315">
        <f t="shared" si="20"/>
        <v>99.999999999999986</v>
      </c>
      <c r="L26" s="897">
        <f t="shared" si="20"/>
        <v>299773</v>
      </c>
      <c r="M26" s="315">
        <f t="shared" si="20"/>
        <v>100.00000000000003</v>
      </c>
      <c r="N26" s="897">
        <f t="shared" si="20"/>
        <v>1838095</v>
      </c>
      <c r="O26" s="315">
        <f t="shared" si="20"/>
        <v>99.999999999999986</v>
      </c>
      <c r="P26" s="897">
        <f t="shared" si="20"/>
        <v>1758579</v>
      </c>
      <c r="Q26" s="315">
        <f t="shared" si="20"/>
        <v>100</v>
      </c>
      <c r="R26" s="1142">
        <f t="shared" si="20"/>
        <v>3596674</v>
      </c>
      <c r="S26" s="315">
        <f t="shared" si="20"/>
        <v>100</v>
      </c>
    </row>
    <row r="27" spans="1:19" ht="14.25" customHeight="1">
      <c r="A27" s="326"/>
      <c r="N27" s="830"/>
      <c r="O27" s="830"/>
      <c r="P27" s="830"/>
      <c r="Q27" s="830"/>
      <c r="R27" s="830"/>
      <c r="S27" s="715" t="s">
        <v>1554</v>
      </c>
    </row>
    <row r="29" spans="1:19">
      <c r="I29" s="901"/>
      <c r="J29"/>
      <c r="K29"/>
      <c r="L29"/>
      <c r="M29"/>
      <c r="N29"/>
      <c r="O29"/>
      <c r="P29"/>
      <c r="Q29"/>
      <c r="R29"/>
    </row>
  </sheetData>
  <mergeCells count="15">
    <mergeCell ref="A1:S1"/>
    <mergeCell ref="A2:S2"/>
    <mergeCell ref="L5:M5"/>
    <mergeCell ref="N5:O5"/>
    <mergeCell ref="P5:Q5"/>
    <mergeCell ref="R5:S5"/>
    <mergeCell ref="N4:S4"/>
    <mergeCell ref="H5:I5"/>
    <mergeCell ref="A4:A6"/>
    <mergeCell ref="B4:G4"/>
    <mergeCell ref="H4:M4"/>
    <mergeCell ref="J5:K5"/>
    <mergeCell ref="F5:G5"/>
    <mergeCell ref="B5:C5"/>
    <mergeCell ref="D5:E5"/>
  </mergeCells>
  <phoneticPr fontId="0" type="noConversion"/>
  <printOptions horizontalCentered="1"/>
  <pageMargins left="0.1" right="0.1" top="0.72" bottom="0.1" header="0.35" footer="0.1"/>
  <pageSetup paperSize="9" scale="95" orientation="landscape" r:id="rId1"/>
  <headerFooter alignWithMargins="0"/>
</worksheet>
</file>

<file path=xl/worksheets/sheet16.xml><?xml version="1.0" encoding="utf-8"?>
<worksheet xmlns="http://schemas.openxmlformats.org/spreadsheetml/2006/main" xmlns:r="http://schemas.openxmlformats.org/officeDocument/2006/relationships">
  <sheetPr codeName="Sheet15"/>
  <dimension ref="A1:I27"/>
  <sheetViews>
    <sheetView topLeftCell="A10" workbookViewId="0">
      <selection activeCell="M30" sqref="M30"/>
    </sheetView>
  </sheetViews>
  <sheetFormatPr defaultRowHeight="12.75"/>
  <cols>
    <col min="1" max="1" width="25.140625" style="266" customWidth="1"/>
    <col min="2" max="2" width="14.140625" style="266" customWidth="1"/>
    <col min="3" max="7" width="15.85546875" style="266" customWidth="1"/>
    <col min="8" max="16384" width="9.140625" style="266"/>
  </cols>
  <sheetData>
    <row r="1" spans="1:8" ht="18" customHeight="1">
      <c r="A1" s="1181" t="s">
        <v>1599</v>
      </c>
      <c r="B1" s="1181"/>
      <c r="C1" s="1181"/>
      <c r="D1" s="1181"/>
      <c r="E1" s="1181"/>
      <c r="F1" s="1181"/>
      <c r="G1" s="1181"/>
    </row>
    <row r="2" spans="1:8" s="259" customFormat="1" ht="18" customHeight="1">
      <c r="A2" s="1235" t="str">
        <f>CONCATENATE("Distribution of Population by sex in different towns in the district of ",District!$A$1,", 2011")</f>
        <v>Distribution of Population by sex in different towns in the district of Bankura, 2011</v>
      </c>
      <c r="B2" s="1235"/>
      <c r="C2" s="1235"/>
      <c r="D2" s="1235"/>
      <c r="E2" s="1235"/>
      <c r="F2" s="1235"/>
      <c r="G2" s="1235"/>
    </row>
    <row r="3" spans="1:8" s="259" customFormat="1" ht="15.75" customHeight="1">
      <c r="A3" s="638"/>
      <c r="B3" s="638"/>
      <c r="C3" s="638"/>
      <c r="D3" s="638"/>
      <c r="E3" s="638"/>
      <c r="F3" s="638"/>
      <c r="G3" s="84" t="s">
        <v>1103</v>
      </c>
    </row>
    <row r="4" spans="1:8" ht="22.5" customHeight="1">
      <c r="A4" s="1194" t="s">
        <v>785</v>
      </c>
      <c r="B4" s="1194" t="s">
        <v>786</v>
      </c>
      <c r="C4" s="1237" t="s">
        <v>847</v>
      </c>
      <c r="D4" s="1239"/>
      <c r="E4" s="1238"/>
      <c r="F4" s="1237" t="s">
        <v>787</v>
      </c>
      <c r="G4" s="1238"/>
      <c r="H4" s="306"/>
    </row>
    <row r="5" spans="1:8" ht="22.5" customHeight="1">
      <c r="A5" s="1195"/>
      <c r="B5" s="1195"/>
      <c r="C5" s="24" t="s">
        <v>531</v>
      </c>
      <c r="D5" s="24" t="s">
        <v>532</v>
      </c>
      <c r="E5" s="39" t="s">
        <v>439</v>
      </c>
      <c r="F5" s="29" t="s">
        <v>568</v>
      </c>
      <c r="G5" s="39" t="s">
        <v>532</v>
      </c>
      <c r="H5" s="306"/>
    </row>
    <row r="6" spans="1:8" ht="22.5" customHeight="1">
      <c r="A6" s="213" t="s">
        <v>418</v>
      </c>
      <c r="B6" s="214" t="s">
        <v>419</v>
      </c>
      <c r="C6" s="222" t="s">
        <v>420</v>
      </c>
      <c r="D6" s="222" t="s">
        <v>421</v>
      </c>
      <c r="E6" s="214" t="s">
        <v>422</v>
      </c>
      <c r="F6" s="221" t="s">
        <v>423</v>
      </c>
      <c r="G6" s="214" t="s">
        <v>424</v>
      </c>
      <c r="H6" s="306"/>
    </row>
    <row r="7" spans="1:8" ht="22.5" customHeight="1">
      <c r="A7" s="64" t="s">
        <v>717</v>
      </c>
      <c r="B7" s="906" t="s">
        <v>1674</v>
      </c>
      <c r="C7" s="275">
        <f>SUM(C8:C12)</f>
        <v>85714</v>
      </c>
      <c r="D7" s="275">
        <f>SUM(D8:D12)</f>
        <v>82784</v>
      </c>
      <c r="E7" s="275">
        <f>SUM(E8:E12)</f>
        <v>168498</v>
      </c>
      <c r="F7" s="327">
        <f>ROUND(C7/E7*100,2)</f>
        <v>50.87</v>
      </c>
      <c r="G7" s="146">
        <f>ROUND(D7/E7*100,2)</f>
        <v>49.13</v>
      </c>
    </row>
    <row r="8" spans="1:8" ht="22.5" customHeight="1">
      <c r="A8" s="90" t="s">
        <v>1188</v>
      </c>
      <c r="B8" s="280" t="s">
        <v>1636</v>
      </c>
      <c r="C8" s="329">
        <v>69843</v>
      </c>
      <c r="D8" s="329">
        <v>67543</v>
      </c>
      <c r="E8" s="184">
        <f>SUM(C8,D8)</f>
        <v>137386</v>
      </c>
      <c r="F8" s="166">
        <f t="shared" ref="F8:F22" si="0">ROUND(C8/E8*100,2)</f>
        <v>50.84</v>
      </c>
      <c r="G8" s="185">
        <f t="shared" ref="G8:G22" si="1">ROUND(D8/E8*100,2)</f>
        <v>49.16</v>
      </c>
    </row>
    <row r="9" spans="1:8" ht="22.5" customHeight="1">
      <c r="A9" s="90" t="s">
        <v>600</v>
      </c>
      <c r="B9" s="280" t="s">
        <v>788</v>
      </c>
      <c r="C9" s="329">
        <v>7203</v>
      </c>
      <c r="D9" s="329">
        <v>6809</v>
      </c>
      <c r="E9" s="184">
        <f>SUM(C9,D9)</f>
        <v>14012</v>
      </c>
      <c r="F9" s="166">
        <f t="shared" si="0"/>
        <v>51.41</v>
      </c>
      <c r="G9" s="185">
        <f t="shared" si="1"/>
        <v>48.59</v>
      </c>
    </row>
    <row r="10" spans="1:8" ht="22.5" customHeight="1">
      <c r="A10" s="90" t="s">
        <v>1635</v>
      </c>
      <c r="B10" s="280" t="s">
        <v>788</v>
      </c>
      <c r="C10" s="329">
        <v>3249</v>
      </c>
      <c r="D10" s="329">
        <v>3214</v>
      </c>
      <c r="E10" s="184">
        <f>SUM(C10,D10)</f>
        <v>6463</v>
      </c>
      <c r="F10" s="166">
        <f t="shared" si="0"/>
        <v>50.27</v>
      </c>
      <c r="G10" s="185">
        <f t="shared" si="1"/>
        <v>49.73</v>
      </c>
    </row>
    <row r="11" spans="1:8" ht="22.5" customHeight="1">
      <c r="A11" s="931" t="s">
        <v>1666</v>
      </c>
      <c r="B11" s="280" t="s">
        <v>788</v>
      </c>
      <c r="C11" s="329">
        <v>2726</v>
      </c>
      <c r="D11" s="329">
        <v>2600</v>
      </c>
      <c r="E11" s="184">
        <f>SUM(C11,D11)</f>
        <v>5326</v>
      </c>
      <c r="F11" s="166">
        <f t="shared" ref="F11:F17" si="2">ROUND(C11/E11*100,2)</f>
        <v>51.18</v>
      </c>
      <c r="G11" s="185">
        <f t="shared" ref="G11:G17" si="3">ROUND(D11/E11*100,2)</f>
        <v>48.82</v>
      </c>
    </row>
    <row r="12" spans="1:8" ht="22.5" customHeight="1">
      <c r="A12" s="29" t="s">
        <v>1667</v>
      </c>
      <c r="B12" s="280" t="s">
        <v>788</v>
      </c>
      <c r="C12" s="329">
        <v>2693</v>
      </c>
      <c r="D12" s="329">
        <v>2618</v>
      </c>
      <c r="E12" s="184">
        <f>SUM(C12,D12)</f>
        <v>5311</v>
      </c>
      <c r="F12" s="166">
        <f t="shared" si="2"/>
        <v>50.71</v>
      </c>
      <c r="G12" s="185">
        <f t="shared" si="3"/>
        <v>49.29</v>
      </c>
    </row>
    <row r="13" spans="1:8" ht="22.5" customHeight="1">
      <c r="A13" s="932" t="s">
        <v>366</v>
      </c>
      <c r="B13" s="43" t="s">
        <v>670</v>
      </c>
      <c r="C13" s="275">
        <f>SUM(C14:C17)</f>
        <v>13281</v>
      </c>
      <c r="D13" s="275">
        <f>SUM(D14:D17)</f>
        <v>12643</v>
      </c>
      <c r="E13" s="275">
        <f>SUM(E14:E17)</f>
        <v>25924</v>
      </c>
      <c r="F13" s="327">
        <f t="shared" si="2"/>
        <v>51.23</v>
      </c>
      <c r="G13" s="146">
        <f t="shared" si="3"/>
        <v>48.77</v>
      </c>
    </row>
    <row r="14" spans="1:8" ht="22.5" customHeight="1">
      <c r="A14" s="29" t="s">
        <v>1668</v>
      </c>
      <c r="B14" s="280" t="s">
        <v>788</v>
      </c>
      <c r="C14" s="329">
        <v>3693</v>
      </c>
      <c r="D14" s="329">
        <v>3513</v>
      </c>
      <c r="E14" s="184">
        <f>SUM(C14,D14)</f>
        <v>7206</v>
      </c>
      <c r="F14" s="166">
        <f t="shared" si="2"/>
        <v>51.25</v>
      </c>
      <c r="G14" s="185">
        <f t="shared" si="3"/>
        <v>48.75</v>
      </c>
    </row>
    <row r="15" spans="1:8" ht="22.5" customHeight="1">
      <c r="A15" s="29" t="s">
        <v>1669</v>
      </c>
      <c r="B15" s="280" t="s">
        <v>788</v>
      </c>
      <c r="C15" s="329">
        <v>2582</v>
      </c>
      <c r="D15" s="329">
        <v>2474</v>
      </c>
      <c r="E15" s="184">
        <f>SUM(C15,D15)</f>
        <v>5056</v>
      </c>
      <c r="F15" s="166">
        <f t="shared" si="2"/>
        <v>51.07</v>
      </c>
      <c r="G15" s="185">
        <f t="shared" si="3"/>
        <v>48.93</v>
      </c>
    </row>
    <row r="16" spans="1:8" ht="22.5" customHeight="1">
      <c r="A16" s="29" t="s">
        <v>1670</v>
      </c>
      <c r="B16" s="280" t="s">
        <v>788</v>
      </c>
      <c r="C16" s="329">
        <v>3774</v>
      </c>
      <c r="D16" s="329">
        <v>3608</v>
      </c>
      <c r="E16" s="184">
        <f>SUM(C16,D16)</f>
        <v>7382</v>
      </c>
      <c r="F16" s="166">
        <f t="shared" si="2"/>
        <v>51.12</v>
      </c>
      <c r="G16" s="185">
        <f t="shared" si="3"/>
        <v>48.88</v>
      </c>
    </row>
    <row r="17" spans="1:9" ht="22.5" customHeight="1">
      <c r="A17" s="29" t="s">
        <v>1671</v>
      </c>
      <c r="B17" s="280" t="s">
        <v>788</v>
      </c>
      <c r="C17" s="329">
        <v>3232</v>
      </c>
      <c r="D17" s="329">
        <v>3048</v>
      </c>
      <c r="E17" s="184">
        <f>SUM(C17,D17)</f>
        <v>6280</v>
      </c>
      <c r="F17" s="166">
        <f t="shared" si="2"/>
        <v>51.46</v>
      </c>
      <c r="G17" s="185">
        <f t="shared" si="3"/>
        <v>48.54</v>
      </c>
    </row>
    <row r="18" spans="1:9" ht="22.5" customHeight="1">
      <c r="A18" s="64" t="s">
        <v>371</v>
      </c>
      <c r="B18" s="848" t="s">
        <v>1673</v>
      </c>
      <c r="C18" s="275">
        <f>SUM(C19:C21)</f>
        <v>53323</v>
      </c>
      <c r="D18" s="275">
        <f>SUM(D19:D21)</f>
        <v>52028</v>
      </c>
      <c r="E18" s="275">
        <f>SUM(E19:E21)</f>
        <v>105351</v>
      </c>
      <c r="F18" s="327">
        <f t="shared" si="0"/>
        <v>50.61</v>
      </c>
      <c r="G18" s="146">
        <f t="shared" si="1"/>
        <v>49.39</v>
      </c>
    </row>
    <row r="19" spans="1:9" ht="22.5" customHeight="1">
      <c r="A19" s="90" t="s">
        <v>350</v>
      </c>
      <c r="B19" s="280" t="s">
        <v>1636</v>
      </c>
      <c r="C19" s="329">
        <v>34055</v>
      </c>
      <c r="D19" s="329">
        <v>33728</v>
      </c>
      <c r="E19" s="184">
        <f>SUM(C19,D19)</f>
        <v>67783</v>
      </c>
      <c r="F19" s="166">
        <f t="shared" si="0"/>
        <v>50.24</v>
      </c>
      <c r="G19" s="185">
        <f t="shared" si="1"/>
        <v>49.76</v>
      </c>
    </row>
    <row r="20" spans="1:9" ht="22.5" customHeight="1">
      <c r="A20" s="90" t="s">
        <v>353</v>
      </c>
      <c r="B20" s="280" t="s">
        <v>1636</v>
      </c>
      <c r="C20" s="329">
        <v>14988</v>
      </c>
      <c r="D20" s="329">
        <v>14097</v>
      </c>
      <c r="E20" s="184">
        <f>SUM(C20,D20)</f>
        <v>29085</v>
      </c>
      <c r="F20" s="166">
        <f t="shared" si="0"/>
        <v>51.53</v>
      </c>
      <c r="G20" s="185">
        <f t="shared" si="1"/>
        <v>48.47</v>
      </c>
    </row>
    <row r="21" spans="1:9" ht="22.5" customHeight="1">
      <c r="A21" s="41" t="s">
        <v>1672</v>
      </c>
      <c r="B21" s="907" t="s">
        <v>788</v>
      </c>
      <c r="C21" s="329">
        <v>4280</v>
      </c>
      <c r="D21" s="329">
        <v>4203</v>
      </c>
      <c r="E21" s="189">
        <f>SUM(C21,D21)</f>
        <v>8483</v>
      </c>
      <c r="F21" s="164">
        <f>ROUND(C21/E21*100,2)</f>
        <v>50.45</v>
      </c>
      <c r="G21" s="188">
        <f>ROUND(D21/E21*100,2)</f>
        <v>49.55</v>
      </c>
    </row>
    <row r="22" spans="1:9" ht="22.5" customHeight="1">
      <c r="A22" s="153" t="s">
        <v>1500</v>
      </c>
      <c r="B22" s="330" t="s">
        <v>1675</v>
      </c>
      <c r="C22" s="309">
        <f>SUM(C7,C13,C18)</f>
        <v>152318</v>
      </c>
      <c r="D22" s="309">
        <f>SUM(D7,D13,D18)</f>
        <v>147455</v>
      </c>
      <c r="E22" s="910">
        <f>SUM(E7,E13,E18)</f>
        <v>299773</v>
      </c>
      <c r="F22" s="460">
        <f t="shared" si="0"/>
        <v>50.81</v>
      </c>
      <c r="G22" s="461">
        <f t="shared" si="1"/>
        <v>49.19</v>
      </c>
      <c r="H22" s="348"/>
    </row>
    <row r="23" spans="1:9">
      <c r="E23" s="1236" t="s">
        <v>1554</v>
      </c>
      <c r="F23" s="1236"/>
      <c r="G23" s="1236"/>
    </row>
    <row r="27" spans="1:9">
      <c r="I27" s="306"/>
    </row>
  </sheetData>
  <mergeCells count="7">
    <mergeCell ref="A1:G1"/>
    <mergeCell ref="A2:G2"/>
    <mergeCell ref="A4:A5"/>
    <mergeCell ref="E23:G23"/>
    <mergeCell ref="F4:G4"/>
    <mergeCell ref="C4:E4"/>
    <mergeCell ref="B4:B5"/>
  </mergeCells>
  <phoneticPr fontId="0" type="noConversion"/>
  <printOptions horizontalCentered="1" verticalCentered="1"/>
  <pageMargins left="0" right="0" top="0.28000000000000003" bottom="0" header="0" footer="0"/>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sheetPr codeName="Sheet16"/>
  <dimension ref="A1:S40"/>
  <sheetViews>
    <sheetView topLeftCell="A19" workbookViewId="0">
      <selection activeCell="M30" sqref="M30"/>
    </sheetView>
  </sheetViews>
  <sheetFormatPr defaultRowHeight="12.75"/>
  <cols>
    <col min="1" max="1" width="19.140625" style="5" customWidth="1"/>
    <col min="2" max="2" width="8.140625" style="5" customWidth="1"/>
    <col min="3" max="3" width="6.85546875" style="5" customWidth="1"/>
    <col min="4" max="4" width="8" style="5" customWidth="1"/>
    <col min="5" max="5" width="7.42578125" style="5" customWidth="1"/>
    <col min="6" max="6" width="7.85546875" style="5" customWidth="1"/>
    <col min="7" max="8" width="7.140625" style="5" customWidth="1"/>
    <col min="9" max="9" width="6.85546875" style="5" customWidth="1"/>
    <col min="10" max="10" width="7.5703125" style="5" customWidth="1"/>
    <col min="11" max="11" width="6.85546875" style="5" customWidth="1"/>
    <col min="12" max="12" width="7.5703125" style="5" customWidth="1"/>
    <col min="13" max="13" width="6.42578125" style="5" customWidth="1"/>
    <col min="14" max="14" width="7.85546875" style="5" customWidth="1"/>
    <col min="15" max="15" width="6.7109375" style="5" customWidth="1"/>
    <col min="16" max="16" width="8.28515625" style="5" customWidth="1"/>
    <col min="17" max="17" width="6.5703125" style="5" customWidth="1"/>
    <col min="18" max="18" width="8.140625" style="5" customWidth="1"/>
    <col min="19" max="16384" width="9.140625" style="5"/>
  </cols>
  <sheetData>
    <row r="1" spans="1:19" ht="12" customHeight="1">
      <c r="A1" s="1223" t="s">
        <v>1598</v>
      </c>
      <c r="B1" s="1223"/>
      <c r="C1" s="1223"/>
      <c r="D1" s="1223"/>
      <c r="E1" s="1223"/>
      <c r="F1" s="1223"/>
      <c r="G1" s="1223"/>
      <c r="H1" s="1223"/>
      <c r="I1" s="1223"/>
      <c r="J1" s="1223"/>
      <c r="K1" s="1223"/>
      <c r="L1" s="1223"/>
      <c r="M1" s="1223"/>
      <c r="N1" s="1223"/>
      <c r="O1" s="1223"/>
      <c r="P1" s="1223"/>
      <c r="Q1" s="1223"/>
      <c r="R1" s="1223"/>
    </row>
    <row r="2" spans="1:19" ht="14.25" customHeight="1">
      <c r="A2" s="1214" t="str">
        <f>CONCATENATE("Distribution of Population over different categories of workers and non-workers in the district of ",District!$A$1,", 2011")</f>
        <v>Distribution of Population over different categories of workers and non-workers in the district of Bankura, 2011</v>
      </c>
      <c r="B2" s="1214"/>
      <c r="C2" s="1214"/>
      <c r="D2" s="1214"/>
      <c r="E2" s="1214"/>
      <c r="F2" s="1214"/>
      <c r="G2" s="1214"/>
      <c r="H2" s="1214"/>
      <c r="I2" s="1214"/>
      <c r="J2" s="1214"/>
      <c r="K2" s="1214"/>
      <c r="L2" s="1214"/>
      <c r="M2" s="1214"/>
      <c r="N2" s="1214"/>
      <c r="O2" s="1214"/>
      <c r="P2" s="1214"/>
      <c r="Q2" s="1214"/>
      <c r="R2" s="1214"/>
    </row>
    <row r="3" spans="1:19" ht="11.25" customHeight="1">
      <c r="A3" s="784"/>
      <c r="B3" s="785"/>
      <c r="C3" s="785"/>
      <c r="D3" s="785"/>
      <c r="E3" s="785"/>
      <c r="F3" s="785"/>
      <c r="G3" s="785"/>
      <c r="H3" s="785"/>
      <c r="I3" s="785"/>
      <c r="J3" s="785"/>
      <c r="K3" s="785"/>
      <c r="L3" s="785"/>
      <c r="M3" s="785"/>
      <c r="N3" s="785"/>
      <c r="O3" s="785"/>
      <c r="P3" s="1240" t="s">
        <v>1103</v>
      </c>
      <c r="Q3" s="1240"/>
      <c r="R3" s="1240"/>
    </row>
    <row r="4" spans="1:19" ht="15" customHeight="1">
      <c r="A4" s="333"/>
      <c r="B4" s="1241" t="s">
        <v>789</v>
      </c>
      <c r="C4" s="1225"/>
      <c r="D4" s="1193" t="s">
        <v>573</v>
      </c>
      <c r="E4" s="1191"/>
      <c r="F4" s="1191"/>
      <c r="G4" s="1191"/>
      <c r="H4" s="1191"/>
      <c r="I4" s="1191"/>
      <c r="J4" s="1191"/>
      <c r="K4" s="1192"/>
      <c r="L4" s="1193" t="s">
        <v>575</v>
      </c>
      <c r="M4" s="1192"/>
      <c r="N4" s="1219" t="s">
        <v>576</v>
      </c>
      <c r="O4" s="1220"/>
      <c r="P4" s="1193" t="s">
        <v>334</v>
      </c>
      <c r="Q4" s="1192"/>
      <c r="R4" s="1194" t="s">
        <v>669</v>
      </c>
    </row>
    <row r="5" spans="1:19" ht="27.75" customHeight="1">
      <c r="A5" s="1217" t="s">
        <v>1063</v>
      </c>
      <c r="B5" s="1187" t="s">
        <v>569</v>
      </c>
      <c r="C5" s="1196" t="s">
        <v>536</v>
      </c>
      <c r="D5" s="1219" t="s">
        <v>572</v>
      </c>
      <c r="E5" s="1220"/>
      <c r="F5" s="1246" t="s">
        <v>692</v>
      </c>
      <c r="G5" s="1247"/>
      <c r="H5" s="1243" t="s">
        <v>691</v>
      </c>
      <c r="I5" s="1244"/>
      <c r="J5" s="1219" t="s">
        <v>574</v>
      </c>
      <c r="K5" s="1220"/>
      <c r="L5" s="1186" t="s">
        <v>308</v>
      </c>
      <c r="M5" s="1196" t="s">
        <v>536</v>
      </c>
      <c r="N5" s="1186" t="s">
        <v>308</v>
      </c>
      <c r="O5" s="1196" t="s">
        <v>536</v>
      </c>
      <c r="P5" s="1186" t="s">
        <v>308</v>
      </c>
      <c r="Q5" s="1196" t="s">
        <v>536</v>
      </c>
      <c r="R5" s="1217"/>
    </row>
    <row r="6" spans="1:19" ht="15" customHeight="1">
      <c r="A6" s="1195"/>
      <c r="B6" s="1218"/>
      <c r="C6" s="1197"/>
      <c r="D6" s="29" t="s">
        <v>308</v>
      </c>
      <c r="E6" s="334" t="s">
        <v>571</v>
      </c>
      <c r="F6" s="29" t="s">
        <v>308</v>
      </c>
      <c r="G6" s="334" t="s">
        <v>571</v>
      </c>
      <c r="H6" s="29" t="s">
        <v>308</v>
      </c>
      <c r="I6" s="334" t="s">
        <v>571</v>
      </c>
      <c r="J6" s="29" t="s">
        <v>308</v>
      </c>
      <c r="K6" s="334" t="s">
        <v>571</v>
      </c>
      <c r="L6" s="1242"/>
      <c r="M6" s="1197"/>
      <c r="N6" s="1242"/>
      <c r="O6" s="1197"/>
      <c r="P6" s="1242"/>
      <c r="Q6" s="1197"/>
      <c r="R6" s="1195"/>
    </row>
    <row r="7" spans="1:19" ht="15" customHeight="1">
      <c r="A7" s="213" t="s">
        <v>418</v>
      </c>
      <c r="B7" s="222" t="s">
        <v>419</v>
      </c>
      <c r="C7" s="277" t="s">
        <v>420</v>
      </c>
      <c r="D7" s="221" t="s">
        <v>421</v>
      </c>
      <c r="E7" s="277" t="s">
        <v>422</v>
      </c>
      <c r="F7" s="221" t="s">
        <v>423</v>
      </c>
      <c r="G7" s="277" t="s">
        <v>424</v>
      </c>
      <c r="H7" s="221" t="s">
        <v>440</v>
      </c>
      <c r="I7" s="277" t="s">
        <v>441</v>
      </c>
      <c r="J7" s="221" t="s">
        <v>442</v>
      </c>
      <c r="K7" s="277" t="s">
        <v>443</v>
      </c>
      <c r="L7" s="221" t="s">
        <v>537</v>
      </c>
      <c r="M7" s="213" t="s">
        <v>538</v>
      </c>
      <c r="N7" s="221" t="s">
        <v>539</v>
      </c>
      <c r="O7" s="213" t="s">
        <v>540</v>
      </c>
      <c r="P7" s="221" t="s">
        <v>542</v>
      </c>
      <c r="Q7" s="213" t="s">
        <v>543</v>
      </c>
      <c r="R7" s="213" t="s">
        <v>545</v>
      </c>
    </row>
    <row r="8" spans="1:19" ht="13.5" customHeight="1">
      <c r="A8" s="303" t="s">
        <v>1077</v>
      </c>
      <c r="B8" s="65">
        <f>D8+F8+H8+J8</f>
        <v>552714</v>
      </c>
      <c r="C8" s="146">
        <f>ROUND(B8/$R8*100,2)</f>
        <v>38.409999999999997</v>
      </c>
      <c r="D8" s="65">
        <f>SUM(D9:D17)</f>
        <v>109520</v>
      </c>
      <c r="E8" s="146">
        <f>ROUND(D8/$B8*100,2)</f>
        <v>19.809999999999999</v>
      </c>
      <c r="F8" s="65">
        <f>SUM(F9:F17)</f>
        <v>186189</v>
      </c>
      <c r="G8" s="146">
        <f>ROUND(F8/$B8*100,2)</f>
        <v>33.69</v>
      </c>
      <c r="H8" s="65">
        <f>SUM(H9:H17)</f>
        <v>23700</v>
      </c>
      <c r="I8" s="146">
        <f>ROUND(H8/$B8*100,2)</f>
        <v>4.29</v>
      </c>
      <c r="J8" s="65">
        <f>SUM(J9:J17)</f>
        <v>233305</v>
      </c>
      <c r="K8" s="146">
        <f>ROUND(J8/$B8*100,2)</f>
        <v>42.21</v>
      </c>
      <c r="L8" s="65">
        <f>SUM(L9:L17)</f>
        <v>358534</v>
      </c>
      <c r="M8" s="146">
        <f>ROUND(L8/$R8*100,2)</f>
        <v>24.91</v>
      </c>
      <c r="N8" s="65">
        <f>SUM(N9:N17)</f>
        <v>194180</v>
      </c>
      <c r="O8" s="146">
        <f>ROUND(N8/$R8*100,2)</f>
        <v>13.49</v>
      </c>
      <c r="P8" s="65">
        <f>SUM(P9:P17)</f>
        <v>886434</v>
      </c>
      <c r="Q8" s="146">
        <f>ROUND(P8/$R8*100,2)+0.01</f>
        <v>61.6</v>
      </c>
      <c r="R8" s="34">
        <f t="shared" ref="R8:R36" si="0">P8+N8+L8</f>
        <v>1439148</v>
      </c>
    </row>
    <row r="9" spans="1:19" ht="13.5" customHeight="1">
      <c r="A9" s="304" t="s">
        <v>596</v>
      </c>
      <c r="B9" s="33">
        <f t="shared" ref="B9:B35" si="1">D9+F9+H9+J9</f>
        <v>40327</v>
      </c>
      <c r="C9" s="62">
        <f t="shared" ref="C9:C36" si="2">ROUND(B9/$R9*100,2)</f>
        <v>37.450000000000003</v>
      </c>
      <c r="D9" s="49">
        <v>7744</v>
      </c>
      <c r="E9" s="62">
        <f t="shared" ref="E9:E35" si="3">ROUND(D9/$B9*100,2)</f>
        <v>19.2</v>
      </c>
      <c r="F9" s="49">
        <v>11751</v>
      </c>
      <c r="G9" s="62">
        <f t="shared" ref="G9:G35" si="4">ROUND(F9/$B9*100,2)</f>
        <v>29.14</v>
      </c>
      <c r="H9" s="49">
        <v>2906</v>
      </c>
      <c r="I9" s="62">
        <f t="shared" ref="I9:I36" si="5">ROUND(H9/$B9*100,2)</f>
        <v>7.21</v>
      </c>
      <c r="J9" s="49">
        <v>17926</v>
      </c>
      <c r="K9" s="62">
        <f t="shared" ref="K9:K36" si="6">ROUND(J9/$B9*100,2)</f>
        <v>44.45</v>
      </c>
      <c r="L9" s="49">
        <v>29689</v>
      </c>
      <c r="M9" s="62">
        <f t="shared" ref="M9:M36" si="7">ROUND(L9/$R9*100,2)</f>
        <v>27.57</v>
      </c>
      <c r="N9" s="49">
        <v>10638</v>
      </c>
      <c r="O9" s="62">
        <f t="shared" ref="O9:O36" si="8">ROUND(N9/$R9*100,2)</f>
        <v>9.8800000000000008</v>
      </c>
      <c r="P9" s="49">
        <v>67358</v>
      </c>
      <c r="Q9" s="62">
        <f t="shared" ref="Q9:Q36" si="9">ROUND(P9/$R9*100,2)</f>
        <v>62.55</v>
      </c>
      <c r="R9" s="33">
        <f t="shared" si="0"/>
        <v>107685</v>
      </c>
    </row>
    <row r="10" spans="1:19" ht="13.5" customHeight="1">
      <c r="A10" s="304" t="s">
        <v>365</v>
      </c>
      <c r="B10" s="33">
        <f t="shared" si="1"/>
        <v>49494</v>
      </c>
      <c r="C10" s="62">
        <f t="shared" si="2"/>
        <v>36.03</v>
      </c>
      <c r="D10" s="49">
        <v>343</v>
      </c>
      <c r="E10" s="62">
        <f t="shared" si="3"/>
        <v>0.69</v>
      </c>
      <c r="F10" s="49">
        <v>299</v>
      </c>
      <c r="G10" s="62">
        <f t="shared" si="4"/>
        <v>0.6</v>
      </c>
      <c r="H10" s="49">
        <v>2463</v>
      </c>
      <c r="I10" s="62">
        <f t="shared" si="5"/>
        <v>4.9800000000000004</v>
      </c>
      <c r="J10" s="49">
        <v>46389</v>
      </c>
      <c r="K10" s="62">
        <f t="shared" si="6"/>
        <v>93.73</v>
      </c>
      <c r="L10" s="49">
        <v>41358</v>
      </c>
      <c r="M10" s="62">
        <f t="shared" si="7"/>
        <v>30.1</v>
      </c>
      <c r="N10" s="49">
        <v>8136</v>
      </c>
      <c r="O10" s="62">
        <f t="shared" si="8"/>
        <v>5.92</v>
      </c>
      <c r="P10" s="49">
        <v>87892</v>
      </c>
      <c r="Q10" s="62">
        <f t="shared" si="9"/>
        <v>63.97</v>
      </c>
      <c r="R10" s="33">
        <f t="shared" si="0"/>
        <v>137386</v>
      </c>
    </row>
    <row r="11" spans="1:19" ht="13.5" customHeight="1">
      <c r="A11" s="304" t="s">
        <v>595</v>
      </c>
      <c r="B11" s="33">
        <f t="shared" si="1"/>
        <v>52525</v>
      </c>
      <c r="C11" s="62">
        <f t="shared" si="2"/>
        <v>37.29</v>
      </c>
      <c r="D11" s="49">
        <v>11288</v>
      </c>
      <c r="E11" s="62">
        <f t="shared" si="3"/>
        <v>21.49</v>
      </c>
      <c r="F11" s="49">
        <v>13578</v>
      </c>
      <c r="G11" s="62">
        <f t="shared" si="4"/>
        <v>25.85</v>
      </c>
      <c r="H11" s="49">
        <v>2718</v>
      </c>
      <c r="I11" s="62">
        <f t="shared" si="5"/>
        <v>5.17</v>
      </c>
      <c r="J11" s="49">
        <v>24941</v>
      </c>
      <c r="K11" s="62">
        <f t="shared" si="6"/>
        <v>47.48</v>
      </c>
      <c r="L11" s="49">
        <v>35590</v>
      </c>
      <c r="M11" s="62">
        <f t="shared" si="7"/>
        <v>25.27</v>
      </c>
      <c r="N11" s="49">
        <v>16935</v>
      </c>
      <c r="O11" s="62">
        <f t="shared" si="8"/>
        <v>12.02</v>
      </c>
      <c r="P11" s="49">
        <v>88339</v>
      </c>
      <c r="Q11" s="62">
        <f t="shared" si="9"/>
        <v>62.71</v>
      </c>
      <c r="R11" s="33">
        <f t="shared" si="0"/>
        <v>140864</v>
      </c>
    </row>
    <row r="12" spans="1:19" ht="13.5" customHeight="1">
      <c r="A12" s="304" t="s">
        <v>597</v>
      </c>
      <c r="B12" s="33">
        <f t="shared" si="1"/>
        <v>77212</v>
      </c>
      <c r="C12" s="62">
        <f t="shared" si="2"/>
        <v>39.590000000000003</v>
      </c>
      <c r="D12" s="49">
        <v>14774</v>
      </c>
      <c r="E12" s="62">
        <f t="shared" si="3"/>
        <v>19.13</v>
      </c>
      <c r="F12" s="49">
        <v>32500</v>
      </c>
      <c r="G12" s="62">
        <f t="shared" si="4"/>
        <v>42.09</v>
      </c>
      <c r="H12" s="49">
        <v>2835</v>
      </c>
      <c r="I12" s="62">
        <f t="shared" si="5"/>
        <v>3.67</v>
      </c>
      <c r="J12" s="49">
        <v>27103</v>
      </c>
      <c r="K12" s="62">
        <f t="shared" si="6"/>
        <v>35.1</v>
      </c>
      <c r="L12" s="49">
        <v>40212</v>
      </c>
      <c r="M12" s="62">
        <f t="shared" si="7"/>
        <v>20.62</v>
      </c>
      <c r="N12" s="49">
        <v>37000</v>
      </c>
      <c r="O12" s="62">
        <f t="shared" si="8"/>
        <v>18.97</v>
      </c>
      <c r="P12" s="49">
        <v>117826</v>
      </c>
      <c r="Q12" s="62">
        <f t="shared" si="9"/>
        <v>60.41</v>
      </c>
      <c r="R12" s="33">
        <f t="shared" si="0"/>
        <v>195038</v>
      </c>
    </row>
    <row r="13" spans="1:19" ht="13.5" customHeight="1">
      <c r="A13" s="304" t="s">
        <v>598</v>
      </c>
      <c r="B13" s="33">
        <f t="shared" si="1"/>
        <v>54335</v>
      </c>
      <c r="C13" s="62">
        <f t="shared" si="2"/>
        <v>39.96</v>
      </c>
      <c r="D13" s="49">
        <v>13099</v>
      </c>
      <c r="E13" s="62">
        <f t="shared" si="3"/>
        <v>24.11</v>
      </c>
      <c r="F13" s="49">
        <v>19252</v>
      </c>
      <c r="G13" s="62">
        <f t="shared" si="4"/>
        <v>35.43</v>
      </c>
      <c r="H13" s="49">
        <v>1766</v>
      </c>
      <c r="I13" s="62">
        <f t="shared" si="5"/>
        <v>3.25</v>
      </c>
      <c r="J13" s="49">
        <v>20218</v>
      </c>
      <c r="K13" s="62">
        <f t="shared" si="6"/>
        <v>37.21</v>
      </c>
      <c r="L13" s="49">
        <v>32107</v>
      </c>
      <c r="M13" s="62">
        <f t="shared" si="7"/>
        <v>23.61</v>
      </c>
      <c r="N13" s="49">
        <v>22228</v>
      </c>
      <c r="O13" s="62">
        <f t="shared" si="8"/>
        <v>16.350000000000001</v>
      </c>
      <c r="P13" s="49">
        <v>81645</v>
      </c>
      <c r="Q13" s="62">
        <f t="shared" si="9"/>
        <v>60.04</v>
      </c>
      <c r="R13" s="33">
        <f t="shared" si="0"/>
        <v>135980</v>
      </c>
    </row>
    <row r="14" spans="1:19" ht="13.5" customHeight="1">
      <c r="A14" s="304" t="s">
        <v>599</v>
      </c>
      <c r="B14" s="33">
        <f t="shared" si="1"/>
        <v>30439</v>
      </c>
      <c r="C14" s="62">
        <f t="shared" si="2"/>
        <v>35.32</v>
      </c>
      <c r="D14" s="49">
        <v>5659</v>
      </c>
      <c r="E14" s="62">
        <f t="shared" si="3"/>
        <v>18.59</v>
      </c>
      <c r="F14" s="49">
        <v>8127</v>
      </c>
      <c r="G14" s="62">
        <f t="shared" si="4"/>
        <v>26.7</v>
      </c>
      <c r="H14" s="49">
        <v>690</v>
      </c>
      <c r="I14" s="62">
        <f t="shared" si="5"/>
        <v>2.27</v>
      </c>
      <c r="J14" s="49">
        <v>15963</v>
      </c>
      <c r="K14" s="62">
        <f t="shared" si="6"/>
        <v>52.44</v>
      </c>
      <c r="L14" s="49">
        <v>19985</v>
      </c>
      <c r="M14" s="62">
        <f t="shared" si="7"/>
        <v>23.19</v>
      </c>
      <c r="N14" s="49">
        <v>10454</v>
      </c>
      <c r="O14" s="62">
        <f t="shared" si="8"/>
        <v>12.13</v>
      </c>
      <c r="P14" s="49">
        <v>55749</v>
      </c>
      <c r="Q14" s="62">
        <f t="shared" si="9"/>
        <v>64.680000000000007</v>
      </c>
      <c r="R14" s="33">
        <f t="shared" si="0"/>
        <v>86188</v>
      </c>
    </row>
    <row r="15" spans="1:19" ht="13.5" customHeight="1">
      <c r="A15" s="304" t="s">
        <v>771</v>
      </c>
      <c r="B15" s="33">
        <f t="shared" si="1"/>
        <v>69291</v>
      </c>
      <c r="C15" s="62">
        <f t="shared" si="2"/>
        <v>38.29</v>
      </c>
      <c r="D15" s="49">
        <v>16856</v>
      </c>
      <c r="E15" s="62">
        <f t="shared" si="3"/>
        <v>24.33</v>
      </c>
      <c r="F15" s="49">
        <v>25301</v>
      </c>
      <c r="G15" s="62">
        <f t="shared" si="4"/>
        <v>36.51</v>
      </c>
      <c r="H15" s="49">
        <v>2571</v>
      </c>
      <c r="I15" s="62">
        <f t="shared" si="5"/>
        <v>3.71</v>
      </c>
      <c r="J15" s="49">
        <v>24563</v>
      </c>
      <c r="K15" s="62">
        <f t="shared" si="6"/>
        <v>35.450000000000003</v>
      </c>
      <c r="L15" s="49">
        <v>37105</v>
      </c>
      <c r="M15" s="62">
        <f t="shared" si="7"/>
        <v>20.5</v>
      </c>
      <c r="N15" s="49">
        <v>32186</v>
      </c>
      <c r="O15" s="62">
        <f t="shared" si="8"/>
        <v>17.78</v>
      </c>
      <c r="P15" s="49">
        <v>111683</v>
      </c>
      <c r="Q15" s="62">
        <f t="shared" si="9"/>
        <v>61.71</v>
      </c>
      <c r="R15" s="33">
        <f t="shared" si="0"/>
        <v>180974</v>
      </c>
    </row>
    <row r="16" spans="1:19" ht="13.5" customHeight="1">
      <c r="A16" s="304" t="s">
        <v>600</v>
      </c>
      <c r="B16" s="33">
        <f t="shared" si="1"/>
        <v>79107</v>
      </c>
      <c r="C16" s="62">
        <f t="shared" si="2"/>
        <v>39.15</v>
      </c>
      <c r="D16" s="49">
        <v>15235</v>
      </c>
      <c r="E16" s="62">
        <f t="shared" si="3"/>
        <v>19.260000000000002</v>
      </c>
      <c r="F16" s="49">
        <v>28677</v>
      </c>
      <c r="G16" s="62">
        <f t="shared" si="4"/>
        <v>36.25</v>
      </c>
      <c r="H16" s="49">
        <v>3135</v>
      </c>
      <c r="I16" s="62">
        <f t="shared" si="5"/>
        <v>3.96</v>
      </c>
      <c r="J16" s="49">
        <v>32060</v>
      </c>
      <c r="K16" s="62">
        <f t="shared" si="6"/>
        <v>40.53</v>
      </c>
      <c r="L16" s="49">
        <v>52948</v>
      </c>
      <c r="M16" s="62">
        <f t="shared" si="7"/>
        <v>26.21</v>
      </c>
      <c r="N16" s="49">
        <v>26159</v>
      </c>
      <c r="O16" s="62">
        <f t="shared" si="8"/>
        <v>12.95</v>
      </c>
      <c r="P16" s="49">
        <v>122942</v>
      </c>
      <c r="Q16" s="62">
        <f t="shared" si="9"/>
        <v>60.85</v>
      </c>
      <c r="R16" s="33">
        <f t="shared" si="0"/>
        <v>202049</v>
      </c>
      <c r="S16" s="2"/>
    </row>
    <row r="17" spans="1:18" ht="13.5" customHeight="1">
      <c r="A17" s="304" t="s">
        <v>602</v>
      </c>
      <c r="B17" s="33">
        <f t="shared" si="1"/>
        <v>99984</v>
      </c>
      <c r="C17" s="62">
        <f t="shared" si="2"/>
        <v>39.520000000000003</v>
      </c>
      <c r="D17" s="49">
        <v>24522</v>
      </c>
      <c r="E17" s="62">
        <f t="shared" si="3"/>
        <v>24.53</v>
      </c>
      <c r="F17" s="49">
        <v>46704</v>
      </c>
      <c r="G17" s="62">
        <f t="shared" si="4"/>
        <v>46.71</v>
      </c>
      <c r="H17" s="49">
        <v>4616</v>
      </c>
      <c r="I17" s="62">
        <f t="shared" si="5"/>
        <v>4.62</v>
      </c>
      <c r="J17" s="49">
        <v>24142</v>
      </c>
      <c r="K17" s="62">
        <f t="shared" si="6"/>
        <v>24.15</v>
      </c>
      <c r="L17" s="49">
        <v>69540</v>
      </c>
      <c r="M17" s="62">
        <f t="shared" si="7"/>
        <v>27.49</v>
      </c>
      <c r="N17" s="49">
        <v>30444</v>
      </c>
      <c r="O17" s="62">
        <f t="shared" si="8"/>
        <v>12.03</v>
      </c>
      <c r="P17" s="49">
        <v>153000</v>
      </c>
      <c r="Q17" s="62">
        <f t="shared" si="9"/>
        <v>60.48</v>
      </c>
      <c r="R17" s="33">
        <f t="shared" si="0"/>
        <v>252984</v>
      </c>
    </row>
    <row r="18" spans="1:18" ht="13.5" customHeight="1">
      <c r="A18" s="303" t="s">
        <v>273</v>
      </c>
      <c r="B18" s="34">
        <f t="shared" si="1"/>
        <v>447396</v>
      </c>
      <c r="C18" s="146">
        <f t="shared" si="2"/>
        <v>42.79</v>
      </c>
      <c r="D18" s="34">
        <f>SUM(D19:D26)</f>
        <v>93591</v>
      </c>
      <c r="E18" s="146">
        <f t="shared" si="3"/>
        <v>20.92</v>
      </c>
      <c r="F18" s="34">
        <f>SUM(F19:F26)</f>
        <v>252985</v>
      </c>
      <c r="G18" s="146">
        <f>ROUND(F18/$B18*100,2)-0.01</f>
        <v>56.54</v>
      </c>
      <c r="H18" s="34">
        <f>SUM(H19:H26)</f>
        <v>15653</v>
      </c>
      <c r="I18" s="146">
        <f t="shared" si="5"/>
        <v>3.5</v>
      </c>
      <c r="J18" s="34">
        <f>SUM(J19:J26)</f>
        <v>85167</v>
      </c>
      <c r="K18" s="146">
        <f t="shared" si="6"/>
        <v>19.04</v>
      </c>
      <c r="L18" s="34">
        <f>SUM(L19:L26)</f>
        <v>223575</v>
      </c>
      <c r="M18" s="146">
        <f t="shared" si="7"/>
        <v>21.38</v>
      </c>
      <c r="N18" s="34">
        <f>SUM(N19:N26)</f>
        <v>223821</v>
      </c>
      <c r="O18" s="146">
        <f t="shared" si="8"/>
        <v>21.41</v>
      </c>
      <c r="P18" s="34">
        <f>SUM(P19:P26)</f>
        <v>598195</v>
      </c>
      <c r="Q18" s="146">
        <f t="shared" si="9"/>
        <v>57.21</v>
      </c>
      <c r="R18" s="34">
        <f t="shared" si="0"/>
        <v>1045591</v>
      </c>
    </row>
    <row r="19" spans="1:18" ht="13.5" customHeight="1">
      <c r="A19" s="304" t="s">
        <v>605</v>
      </c>
      <c r="B19" s="33">
        <f t="shared" si="1"/>
        <v>63403</v>
      </c>
      <c r="C19" s="62">
        <f t="shared" si="2"/>
        <v>40.51</v>
      </c>
      <c r="D19" s="49">
        <v>12834</v>
      </c>
      <c r="E19" s="62">
        <f t="shared" si="3"/>
        <v>20.239999999999998</v>
      </c>
      <c r="F19" s="49">
        <v>33939</v>
      </c>
      <c r="G19" s="62">
        <f t="shared" si="4"/>
        <v>53.53</v>
      </c>
      <c r="H19" s="49">
        <v>2100</v>
      </c>
      <c r="I19" s="62">
        <f t="shared" si="5"/>
        <v>3.31</v>
      </c>
      <c r="J19" s="33">
        <v>14530</v>
      </c>
      <c r="K19" s="62">
        <f t="shared" si="6"/>
        <v>22.92</v>
      </c>
      <c r="L19" s="33">
        <v>31324</v>
      </c>
      <c r="M19" s="62">
        <f t="shared" si="7"/>
        <v>20.010000000000002</v>
      </c>
      <c r="N19" s="33">
        <v>32079</v>
      </c>
      <c r="O19" s="62">
        <f t="shared" si="8"/>
        <v>20.49</v>
      </c>
      <c r="P19" s="33">
        <v>93119</v>
      </c>
      <c r="Q19" s="62">
        <f t="shared" si="9"/>
        <v>59.49</v>
      </c>
      <c r="R19" s="33">
        <f t="shared" si="0"/>
        <v>156522</v>
      </c>
    </row>
    <row r="20" spans="1:18" ht="13.5" customHeight="1">
      <c r="A20" s="304" t="s">
        <v>604</v>
      </c>
      <c r="B20" s="33">
        <f t="shared" si="1"/>
        <v>45441</v>
      </c>
      <c r="C20" s="62">
        <f t="shared" si="2"/>
        <v>38.83</v>
      </c>
      <c r="D20" s="49">
        <v>7575</v>
      </c>
      <c r="E20" s="62">
        <f t="shared" si="3"/>
        <v>16.670000000000002</v>
      </c>
      <c r="F20" s="49">
        <v>24186</v>
      </c>
      <c r="G20" s="62">
        <f t="shared" si="4"/>
        <v>53.23</v>
      </c>
      <c r="H20" s="49">
        <v>914</v>
      </c>
      <c r="I20" s="62">
        <f t="shared" si="5"/>
        <v>2.0099999999999998</v>
      </c>
      <c r="J20" s="33">
        <v>12766</v>
      </c>
      <c r="K20" s="62">
        <f t="shared" si="6"/>
        <v>28.09</v>
      </c>
      <c r="L20" s="33">
        <v>25256</v>
      </c>
      <c r="M20" s="62">
        <f t="shared" si="7"/>
        <v>21.58</v>
      </c>
      <c r="N20" s="33">
        <v>20185</v>
      </c>
      <c r="O20" s="62">
        <f t="shared" si="8"/>
        <v>17.25</v>
      </c>
      <c r="P20" s="33">
        <v>71589</v>
      </c>
      <c r="Q20" s="62">
        <f t="shared" si="9"/>
        <v>61.17</v>
      </c>
      <c r="R20" s="33">
        <f t="shared" si="0"/>
        <v>117030</v>
      </c>
    </row>
    <row r="21" spans="1:18" ht="13.5" customHeight="1">
      <c r="A21" s="304" t="s">
        <v>368</v>
      </c>
      <c r="B21" s="33">
        <f t="shared" si="1"/>
        <v>37470</v>
      </c>
      <c r="C21" s="62">
        <f t="shared" si="2"/>
        <v>44.7</v>
      </c>
      <c r="D21" s="49">
        <v>5979</v>
      </c>
      <c r="E21" s="62">
        <f t="shared" si="3"/>
        <v>15.96</v>
      </c>
      <c r="F21" s="49">
        <v>23479</v>
      </c>
      <c r="G21" s="62">
        <f t="shared" si="4"/>
        <v>62.66</v>
      </c>
      <c r="H21" s="49">
        <v>1000</v>
      </c>
      <c r="I21" s="62">
        <f t="shared" si="5"/>
        <v>2.67</v>
      </c>
      <c r="J21" s="33">
        <v>7012</v>
      </c>
      <c r="K21" s="62">
        <f t="shared" si="6"/>
        <v>18.71</v>
      </c>
      <c r="L21" s="33">
        <v>15516</v>
      </c>
      <c r="M21" s="62">
        <f t="shared" si="7"/>
        <v>18.510000000000002</v>
      </c>
      <c r="N21" s="33">
        <v>21954</v>
      </c>
      <c r="O21" s="62">
        <f t="shared" si="8"/>
        <v>26.19</v>
      </c>
      <c r="P21" s="33">
        <v>46364</v>
      </c>
      <c r="Q21" s="62">
        <f t="shared" si="9"/>
        <v>55.3</v>
      </c>
      <c r="R21" s="33">
        <f t="shared" si="0"/>
        <v>83834</v>
      </c>
    </row>
    <row r="22" spans="1:18" ht="13.5" customHeight="1">
      <c r="A22" s="304" t="s">
        <v>606</v>
      </c>
      <c r="B22" s="33">
        <f t="shared" si="1"/>
        <v>57473</v>
      </c>
      <c r="C22" s="62">
        <f t="shared" si="2"/>
        <v>48.26</v>
      </c>
      <c r="D22" s="49">
        <v>13103</v>
      </c>
      <c r="E22" s="62">
        <f t="shared" si="3"/>
        <v>22.8</v>
      </c>
      <c r="F22" s="49">
        <v>33602</v>
      </c>
      <c r="G22" s="62">
        <f t="shared" si="4"/>
        <v>58.47</v>
      </c>
      <c r="H22" s="49">
        <v>2967</v>
      </c>
      <c r="I22" s="62">
        <f t="shared" si="5"/>
        <v>5.16</v>
      </c>
      <c r="J22" s="33">
        <v>7801</v>
      </c>
      <c r="K22" s="62">
        <f t="shared" si="6"/>
        <v>13.57</v>
      </c>
      <c r="L22" s="33">
        <v>27419</v>
      </c>
      <c r="M22" s="62">
        <f t="shared" si="7"/>
        <v>23.02</v>
      </c>
      <c r="N22" s="33">
        <v>30054</v>
      </c>
      <c r="O22" s="62">
        <f t="shared" si="8"/>
        <v>25.24</v>
      </c>
      <c r="P22" s="33">
        <v>61616</v>
      </c>
      <c r="Q22" s="62">
        <f t="shared" si="9"/>
        <v>51.74</v>
      </c>
      <c r="R22" s="33">
        <f t="shared" si="0"/>
        <v>119089</v>
      </c>
    </row>
    <row r="23" spans="1:18" ht="13.5" customHeight="1">
      <c r="A23" s="304" t="s">
        <v>347</v>
      </c>
      <c r="B23" s="33">
        <f t="shared" si="1"/>
        <v>62413</v>
      </c>
      <c r="C23" s="62">
        <f t="shared" si="2"/>
        <v>42.2</v>
      </c>
      <c r="D23" s="49">
        <v>13661</v>
      </c>
      <c r="E23" s="62">
        <f t="shared" si="3"/>
        <v>21.89</v>
      </c>
      <c r="F23" s="49">
        <v>35293</v>
      </c>
      <c r="G23" s="62">
        <f t="shared" si="4"/>
        <v>56.55</v>
      </c>
      <c r="H23" s="49">
        <v>2234</v>
      </c>
      <c r="I23" s="62">
        <f t="shared" si="5"/>
        <v>3.58</v>
      </c>
      <c r="J23" s="33">
        <v>11225</v>
      </c>
      <c r="K23" s="62">
        <f t="shared" si="6"/>
        <v>17.989999999999998</v>
      </c>
      <c r="L23" s="33">
        <v>34088</v>
      </c>
      <c r="M23" s="62">
        <f t="shared" si="7"/>
        <v>23.05</v>
      </c>
      <c r="N23" s="33">
        <v>28325</v>
      </c>
      <c r="O23" s="62">
        <f t="shared" si="8"/>
        <v>19.149999999999999</v>
      </c>
      <c r="P23" s="33">
        <v>85480</v>
      </c>
      <c r="Q23" s="62">
        <f t="shared" si="9"/>
        <v>57.8</v>
      </c>
      <c r="R23" s="33">
        <f t="shared" si="0"/>
        <v>147893</v>
      </c>
    </row>
    <row r="24" spans="1:18" ht="13.5" customHeight="1">
      <c r="A24" s="304" t="s">
        <v>369</v>
      </c>
      <c r="B24" s="33">
        <f t="shared" si="1"/>
        <v>57948</v>
      </c>
      <c r="C24" s="62">
        <f t="shared" si="2"/>
        <v>40.51</v>
      </c>
      <c r="D24" s="49">
        <v>12062</v>
      </c>
      <c r="E24" s="62">
        <f t="shared" si="3"/>
        <v>20.82</v>
      </c>
      <c r="F24" s="49">
        <v>30773</v>
      </c>
      <c r="G24" s="62">
        <f t="shared" si="4"/>
        <v>53.1</v>
      </c>
      <c r="H24" s="49">
        <v>2726</v>
      </c>
      <c r="I24" s="62">
        <f t="shared" si="5"/>
        <v>4.7</v>
      </c>
      <c r="J24" s="33">
        <v>12387</v>
      </c>
      <c r="K24" s="62">
        <f t="shared" si="6"/>
        <v>21.38</v>
      </c>
      <c r="L24" s="33">
        <v>30681</v>
      </c>
      <c r="M24" s="62">
        <f t="shared" si="7"/>
        <v>21.45</v>
      </c>
      <c r="N24" s="33">
        <v>27267</v>
      </c>
      <c r="O24" s="62">
        <f t="shared" si="8"/>
        <v>19.059999999999999</v>
      </c>
      <c r="P24" s="33">
        <v>85090</v>
      </c>
      <c r="Q24" s="62">
        <f t="shared" si="9"/>
        <v>59.49</v>
      </c>
      <c r="R24" s="33">
        <f t="shared" si="0"/>
        <v>143038</v>
      </c>
    </row>
    <row r="25" spans="1:18" ht="13.5" customHeight="1">
      <c r="A25" s="304" t="s">
        <v>349</v>
      </c>
      <c r="B25" s="33">
        <f t="shared" si="1"/>
        <v>78233</v>
      </c>
      <c r="C25" s="62">
        <f t="shared" si="2"/>
        <v>45.65</v>
      </c>
      <c r="D25" s="49">
        <v>18316</v>
      </c>
      <c r="E25" s="62">
        <f t="shared" si="3"/>
        <v>23.41</v>
      </c>
      <c r="F25" s="49">
        <v>45944</v>
      </c>
      <c r="G25" s="62">
        <f t="shared" si="4"/>
        <v>58.73</v>
      </c>
      <c r="H25" s="49">
        <v>2269</v>
      </c>
      <c r="I25" s="62">
        <f t="shared" si="5"/>
        <v>2.9</v>
      </c>
      <c r="J25" s="33">
        <v>11704</v>
      </c>
      <c r="K25" s="62">
        <f t="shared" si="6"/>
        <v>14.96</v>
      </c>
      <c r="L25" s="33">
        <v>37531</v>
      </c>
      <c r="M25" s="62">
        <f t="shared" si="7"/>
        <v>21.9</v>
      </c>
      <c r="N25" s="33">
        <v>40702</v>
      </c>
      <c r="O25" s="62">
        <f t="shared" si="8"/>
        <v>23.75</v>
      </c>
      <c r="P25" s="33">
        <v>93144</v>
      </c>
      <c r="Q25" s="62">
        <f t="shared" si="9"/>
        <v>54.35</v>
      </c>
      <c r="R25" s="33">
        <f t="shared" si="0"/>
        <v>171377</v>
      </c>
    </row>
    <row r="26" spans="1:18" ht="13.5" customHeight="1">
      <c r="A26" s="304" t="s">
        <v>370</v>
      </c>
      <c r="B26" s="33">
        <f t="shared" si="1"/>
        <v>45015</v>
      </c>
      <c r="C26" s="62">
        <f t="shared" si="2"/>
        <v>42.15</v>
      </c>
      <c r="D26" s="49">
        <v>10061</v>
      </c>
      <c r="E26" s="62">
        <f t="shared" si="3"/>
        <v>22.35</v>
      </c>
      <c r="F26" s="49">
        <v>25769</v>
      </c>
      <c r="G26" s="62">
        <f t="shared" si="4"/>
        <v>57.25</v>
      </c>
      <c r="H26" s="49">
        <v>1443</v>
      </c>
      <c r="I26" s="62">
        <f t="shared" si="5"/>
        <v>3.21</v>
      </c>
      <c r="J26" s="33">
        <v>7742</v>
      </c>
      <c r="K26" s="62">
        <f t="shared" si="6"/>
        <v>17.2</v>
      </c>
      <c r="L26" s="33">
        <v>21760</v>
      </c>
      <c r="M26" s="62">
        <f t="shared" si="7"/>
        <v>20.37</v>
      </c>
      <c r="N26" s="33">
        <v>23255</v>
      </c>
      <c r="O26" s="62">
        <f t="shared" si="8"/>
        <v>21.77</v>
      </c>
      <c r="P26" s="33">
        <v>61793</v>
      </c>
      <c r="Q26" s="62">
        <f t="shared" si="9"/>
        <v>57.85</v>
      </c>
      <c r="R26" s="33">
        <f t="shared" si="0"/>
        <v>106808</v>
      </c>
    </row>
    <row r="27" spans="1:18" ht="13.5" customHeight="1">
      <c r="A27" s="303" t="s">
        <v>372</v>
      </c>
      <c r="B27" s="34">
        <f t="shared" si="1"/>
        <v>466110</v>
      </c>
      <c r="C27" s="146">
        <f t="shared" si="2"/>
        <v>41.92</v>
      </c>
      <c r="D27" s="43">
        <f>SUM(D28:D35)</f>
        <v>106612</v>
      </c>
      <c r="E27" s="146">
        <f t="shared" si="3"/>
        <v>22.87</v>
      </c>
      <c r="F27" s="43">
        <f>SUM(F28:F35)</f>
        <v>208200</v>
      </c>
      <c r="G27" s="146">
        <f t="shared" si="4"/>
        <v>44.67</v>
      </c>
      <c r="H27" s="43">
        <f>SUM(H28:H35)</f>
        <v>22033</v>
      </c>
      <c r="I27" s="146">
        <f t="shared" si="5"/>
        <v>4.7300000000000004</v>
      </c>
      <c r="J27" s="43">
        <f>SUM(J28:J35)</f>
        <v>129265</v>
      </c>
      <c r="K27" s="146">
        <f t="shared" si="6"/>
        <v>27.73</v>
      </c>
      <c r="L27" s="43">
        <f>SUM(L28:L35)</f>
        <v>334284</v>
      </c>
      <c r="M27" s="146">
        <f t="shared" si="7"/>
        <v>30.06</v>
      </c>
      <c r="N27" s="43">
        <f>SUM(N28:N35)</f>
        <v>131826</v>
      </c>
      <c r="O27" s="146">
        <f t="shared" si="8"/>
        <v>11.86</v>
      </c>
      <c r="P27" s="43">
        <f>SUM(P28:P35)</f>
        <v>645825</v>
      </c>
      <c r="Q27" s="146">
        <f t="shared" si="9"/>
        <v>58.08</v>
      </c>
      <c r="R27" s="34">
        <f t="shared" si="0"/>
        <v>1111935</v>
      </c>
    </row>
    <row r="28" spans="1:18" ht="13.5" customHeight="1">
      <c r="A28" s="304" t="s">
        <v>350</v>
      </c>
      <c r="B28" s="33">
        <f t="shared" si="1"/>
        <v>67156</v>
      </c>
      <c r="C28" s="62">
        <f t="shared" si="2"/>
        <v>42.82</v>
      </c>
      <c r="D28" s="49">
        <v>14261</v>
      </c>
      <c r="E28" s="62">
        <f t="shared" si="3"/>
        <v>21.24</v>
      </c>
      <c r="F28" s="49">
        <v>29960</v>
      </c>
      <c r="G28" s="62">
        <f t="shared" si="4"/>
        <v>44.61</v>
      </c>
      <c r="H28" s="49">
        <v>3876</v>
      </c>
      <c r="I28" s="62">
        <f t="shared" si="5"/>
        <v>5.77</v>
      </c>
      <c r="J28" s="33">
        <v>19059</v>
      </c>
      <c r="K28" s="62">
        <f t="shared" si="6"/>
        <v>28.38</v>
      </c>
      <c r="L28" s="33">
        <v>43762</v>
      </c>
      <c r="M28" s="62">
        <f t="shared" si="7"/>
        <v>27.91</v>
      </c>
      <c r="N28" s="33">
        <v>23394</v>
      </c>
      <c r="O28" s="62">
        <f t="shared" si="8"/>
        <v>14.92</v>
      </c>
      <c r="P28" s="49">
        <v>89666</v>
      </c>
      <c r="Q28" s="62">
        <f t="shared" si="9"/>
        <v>57.18</v>
      </c>
      <c r="R28" s="33">
        <f t="shared" si="0"/>
        <v>156822</v>
      </c>
    </row>
    <row r="29" spans="1:18" ht="13.5" customHeight="1">
      <c r="A29" s="304" t="s">
        <v>356</v>
      </c>
      <c r="B29" s="33">
        <f t="shared" si="1"/>
        <v>25335</v>
      </c>
      <c r="C29" s="62">
        <f t="shared" si="2"/>
        <v>37.380000000000003</v>
      </c>
      <c r="D29" s="49">
        <v>377</v>
      </c>
      <c r="E29" s="62">
        <f t="shared" si="3"/>
        <v>1.49</v>
      </c>
      <c r="F29" s="49">
        <v>323</v>
      </c>
      <c r="G29" s="62">
        <f t="shared" si="4"/>
        <v>1.27</v>
      </c>
      <c r="H29" s="49">
        <v>2318</v>
      </c>
      <c r="I29" s="62">
        <f t="shared" si="5"/>
        <v>9.15</v>
      </c>
      <c r="J29" s="33">
        <v>22317</v>
      </c>
      <c r="K29" s="62">
        <f t="shared" si="6"/>
        <v>88.09</v>
      </c>
      <c r="L29" s="33">
        <v>22327</v>
      </c>
      <c r="M29" s="62">
        <f t="shared" si="7"/>
        <v>32.94</v>
      </c>
      <c r="N29" s="33">
        <v>3008</v>
      </c>
      <c r="O29" s="62">
        <f t="shared" si="8"/>
        <v>4.4400000000000004</v>
      </c>
      <c r="P29" s="49">
        <v>42448</v>
      </c>
      <c r="Q29" s="62">
        <f t="shared" si="9"/>
        <v>62.62</v>
      </c>
      <c r="R29" s="33">
        <f t="shared" si="0"/>
        <v>67783</v>
      </c>
    </row>
    <row r="30" spans="1:18" ht="13.5" customHeight="1">
      <c r="A30" s="304" t="s">
        <v>351</v>
      </c>
      <c r="B30" s="33">
        <f t="shared" si="1"/>
        <v>64114</v>
      </c>
      <c r="C30" s="62">
        <f t="shared" si="2"/>
        <v>40.86</v>
      </c>
      <c r="D30" s="49">
        <v>16314</v>
      </c>
      <c r="E30" s="62">
        <f t="shared" si="3"/>
        <v>25.45</v>
      </c>
      <c r="F30" s="49">
        <v>28805</v>
      </c>
      <c r="G30" s="62">
        <f t="shared" si="4"/>
        <v>44.93</v>
      </c>
      <c r="H30" s="49">
        <v>3723</v>
      </c>
      <c r="I30" s="62">
        <f t="shared" si="5"/>
        <v>5.81</v>
      </c>
      <c r="J30" s="33">
        <v>15272</v>
      </c>
      <c r="K30" s="62">
        <f t="shared" si="6"/>
        <v>23.82</v>
      </c>
      <c r="L30" s="33">
        <v>44294</v>
      </c>
      <c r="M30" s="62">
        <f t="shared" si="7"/>
        <v>28.23</v>
      </c>
      <c r="N30" s="33">
        <v>19820</v>
      </c>
      <c r="O30" s="62">
        <f t="shared" si="8"/>
        <v>12.63</v>
      </c>
      <c r="P30" s="49">
        <v>92806</v>
      </c>
      <c r="Q30" s="62">
        <f t="shared" si="9"/>
        <v>59.14</v>
      </c>
      <c r="R30" s="33">
        <f t="shared" si="0"/>
        <v>156920</v>
      </c>
    </row>
    <row r="31" spans="1:18" ht="13.5" customHeight="1">
      <c r="A31" s="304" t="s">
        <v>352</v>
      </c>
      <c r="B31" s="33">
        <f t="shared" si="1"/>
        <v>77559</v>
      </c>
      <c r="C31" s="62">
        <f t="shared" si="2"/>
        <v>41.09</v>
      </c>
      <c r="D31" s="49">
        <v>23737</v>
      </c>
      <c r="E31" s="62">
        <f t="shared" si="3"/>
        <v>30.61</v>
      </c>
      <c r="F31" s="49">
        <v>30249</v>
      </c>
      <c r="G31" s="62">
        <f t="shared" si="4"/>
        <v>39</v>
      </c>
      <c r="H31" s="49">
        <v>3318</v>
      </c>
      <c r="I31" s="62">
        <f t="shared" si="5"/>
        <v>4.28</v>
      </c>
      <c r="J31" s="33">
        <v>20255</v>
      </c>
      <c r="K31" s="62">
        <f t="shared" si="6"/>
        <v>26.12</v>
      </c>
      <c r="L31" s="33">
        <v>57527</v>
      </c>
      <c r="M31" s="62">
        <f t="shared" si="7"/>
        <v>30.47</v>
      </c>
      <c r="N31" s="33">
        <v>20032</v>
      </c>
      <c r="O31" s="62">
        <f t="shared" si="8"/>
        <v>10.61</v>
      </c>
      <c r="P31" s="49">
        <v>111216</v>
      </c>
      <c r="Q31" s="62">
        <f t="shared" si="9"/>
        <v>58.91</v>
      </c>
      <c r="R31" s="33">
        <f t="shared" si="0"/>
        <v>188775</v>
      </c>
    </row>
    <row r="32" spans="1:18" ht="13.5" customHeight="1">
      <c r="A32" s="304" t="s">
        <v>353</v>
      </c>
      <c r="B32" s="33">
        <f t="shared" si="1"/>
        <v>72581</v>
      </c>
      <c r="C32" s="62">
        <f t="shared" si="2"/>
        <v>45.74</v>
      </c>
      <c r="D32" s="49">
        <v>18332</v>
      </c>
      <c r="E32" s="62">
        <f t="shared" si="3"/>
        <v>25.26</v>
      </c>
      <c r="F32" s="49">
        <v>38357</v>
      </c>
      <c r="G32" s="62">
        <f t="shared" si="4"/>
        <v>52.85</v>
      </c>
      <c r="H32" s="49">
        <v>2737</v>
      </c>
      <c r="I32" s="62">
        <f t="shared" si="5"/>
        <v>3.77</v>
      </c>
      <c r="J32" s="33">
        <v>13155</v>
      </c>
      <c r="K32" s="62">
        <f t="shared" si="6"/>
        <v>18.12</v>
      </c>
      <c r="L32" s="33">
        <v>53414</v>
      </c>
      <c r="M32" s="62">
        <f t="shared" si="7"/>
        <v>33.659999999999997</v>
      </c>
      <c r="N32" s="33">
        <v>19167</v>
      </c>
      <c r="O32" s="62">
        <f t="shared" si="8"/>
        <v>12.08</v>
      </c>
      <c r="P32" s="49">
        <v>86116</v>
      </c>
      <c r="Q32" s="62">
        <f t="shared" si="9"/>
        <v>54.26</v>
      </c>
      <c r="R32" s="33">
        <f t="shared" si="0"/>
        <v>158697</v>
      </c>
    </row>
    <row r="33" spans="1:18" ht="13.5" customHeight="1">
      <c r="A33" s="304" t="s">
        <v>362</v>
      </c>
      <c r="B33" s="33">
        <f t="shared" si="1"/>
        <v>11084</v>
      </c>
      <c r="C33" s="62">
        <f t="shared" si="2"/>
        <v>38.11</v>
      </c>
      <c r="D33" s="49">
        <v>168</v>
      </c>
      <c r="E33" s="62">
        <f t="shared" si="3"/>
        <v>1.52</v>
      </c>
      <c r="F33" s="49">
        <v>766</v>
      </c>
      <c r="G33" s="62">
        <f t="shared" si="4"/>
        <v>6.91</v>
      </c>
      <c r="H33" s="49">
        <v>1195</v>
      </c>
      <c r="I33" s="62">
        <f t="shared" si="5"/>
        <v>10.78</v>
      </c>
      <c r="J33" s="33">
        <v>8955</v>
      </c>
      <c r="K33" s="62">
        <f t="shared" si="6"/>
        <v>80.790000000000006</v>
      </c>
      <c r="L33" s="33">
        <v>9877</v>
      </c>
      <c r="M33" s="62">
        <f t="shared" si="7"/>
        <v>33.96</v>
      </c>
      <c r="N33" s="33">
        <v>1207</v>
      </c>
      <c r="O33" s="62">
        <f t="shared" si="8"/>
        <v>4.1500000000000004</v>
      </c>
      <c r="P33" s="49">
        <v>18001</v>
      </c>
      <c r="Q33" s="62">
        <f t="shared" si="9"/>
        <v>61.89</v>
      </c>
      <c r="R33" s="33">
        <f t="shared" si="0"/>
        <v>29085</v>
      </c>
    </row>
    <row r="34" spans="1:18" ht="13.5" customHeight="1">
      <c r="A34" s="304" t="s">
        <v>354</v>
      </c>
      <c r="B34" s="33">
        <f t="shared" si="1"/>
        <v>79419</v>
      </c>
      <c r="C34" s="62">
        <f t="shared" si="2"/>
        <v>43.15</v>
      </c>
      <c r="D34" s="49">
        <v>18441</v>
      </c>
      <c r="E34" s="62">
        <f t="shared" si="3"/>
        <v>23.22</v>
      </c>
      <c r="F34" s="49">
        <v>42494</v>
      </c>
      <c r="G34" s="62">
        <f t="shared" si="4"/>
        <v>53.51</v>
      </c>
      <c r="H34" s="49">
        <v>3391</v>
      </c>
      <c r="I34" s="62">
        <f t="shared" si="5"/>
        <v>4.2699999999999996</v>
      </c>
      <c r="J34" s="33">
        <v>15093</v>
      </c>
      <c r="K34" s="62">
        <f t="shared" si="6"/>
        <v>19</v>
      </c>
      <c r="L34" s="33">
        <v>58244</v>
      </c>
      <c r="M34" s="62">
        <f t="shared" si="7"/>
        <v>31.64</v>
      </c>
      <c r="N34" s="33">
        <v>21175</v>
      </c>
      <c r="O34" s="62">
        <f t="shared" si="8"/>
        <v>11.5</v>
      </c>
      <c r="P34" s="49">
        <v>104651</v>
      </c>
      <c r="Q34" s="62">
        <f t="shared" si="9"/>
        <v>56.85</v>
      </c>
      <c r="R34" s="33">
        <f t="shared" si="0"/>
        <v>184070</v>
      </c>
    </row>
    <row r="35" spans="1:18" ht="13.5" customHeight="1">
      <c r="A35" s="335" t="s">
        <v>355</v>
      </c>
      <c r="B35" s="41">
        <f t="shared" si="1"/>
        <v>68862</v>
      </c>
      <c r="C35" s="62">
        <f t="shared" si="2"/>
        <v>40.56</v>
      </c>
      <c r="D35" s="49">
        <v>14982</v>
      </c>
      <c r="E35" s="62">
        <f t="shared" si="3"/>
        <v>21.76</v>
      </c>
      <c r="F35" s="49">
        <v>37246</v>
      </c>
      <c r="G35" s="62">
        <f t="shared" si="4"/>
        <v>54.09</v>
      </c>
      <c r="H35" s="49">
        <v>1475</v>
      </c>
      <c r="I35" s="62">
        <f t="shared" si="5"/>
        <v>2.14</v>
      </c>
      <c r="J35" s="33">
        <v>15159</v>
      </c>
      <c r="K35" s="62">
        <f t="shared" si="6"/>
        <v>22.01</v>
      </c>
      <c r="L35" s="33">
        <v>44839</v>
      </c>
      <c r="M35" s="62">
        <f t="shared" si="7"/>
        <v>26.41</v>
      </c>
      <c r="N35" s="33">
        <v>24023</v>
      </c>
      <c r="O35" s="62">
        <f t="shared" si="8"/>
        <v>14.15</v>
      </c>
      <c r="P35" s="49">
        <v>100921</v>
      </c>
      <c r="Q35" s="62">
        <f t="shared" si="9"/>
        <v>59.44</v>
      </c>
      <c r="R35" s="41">
        <f t="shared" si="0"/>
        <v>169783</v>
      </c>
    </row>
    <row r="36" spans="1:18" ht="13.5" customHeight="1">
      <c r="A36" s="179" t="s">
        <v>1500</v>
      </c>
      <c r="B36" s="179">
        <f>SUM(B8,B18,B27)</f>
        <v>1466220</v>
      </c>
      <c r="C36" s="315">
        <f t="shared" si="2"/>
        <v>40.770000000000003</v>
      </c>
      <c r="D36" s="179">
        <f>SUM(D8,D18,D27)</f>
        <v>309723</v>
      </c>
      <c r="E36" s="315">
        <f>ROUND(D36/$B36*100,2)</f>
        <v>21.12</v>
      </c>
      <c r="F36" s="179">
        <f>SUM(F8,F18,F27)</f>
        <v>647374</v>
      </c>
      <c r="G36" s="315">
        <f>ROUND(F36/$B36*100,2)</f>
        <v>44.15</v>
      </c>
      <c r="H36" s="179">
        <f>SUM(H8,H18,H27)</f>
        <v>61386</v>
      </c>
      <c r="I36" s="315">
        <f t="shared" si="5"/>
        <v>4.1900000000000004</v>
      </c>
      <c r="J36" s="179">
        <f>SUM(J8,J18,J27)</f>
        <v>447737</v>
      </c>
      <c r="K36" s="315">
        <f t="shared" si="6"/>
        <v>30.54</v>
      </c>
      <c r="L36" s="179">
        <f>SUM(L8,L18,L27)</f>
        <v>916393</v>
      </c>
      <c r="M36" s="315">
        <f t="shared" si="7"/>
        <v>25.48</v>
      </c>
      <c r="N36" s="179">
        <f>SUM(N8,N18,N27)</f>
        <v>549827</v>
      </c>
      <c r="O36" s="315">
        <f t="shared" si="8"/>
        <v>15.29</v>
      </c>
      <c r="P36" s="179">
        <f>SUM(P8,P18,P27)</f>
        <v>2130454</v>
      </c>
      <c r="Q36" s="315">
        <f t="shared" si="9"/>
        <v>59.23</v>
      </c>
      <c r="R36" s="35">
        <f t="shared" si="0"/>
        <v>3596674</v>
      </c>
    </row>
    <row r="37" spans="1:18" ht="11.25" customHeight="1">
      <c r="A37" s="516" t="s">
        <v>1253</v>
      </c>
      <c r="B37" s="55"/>
      <c r="C37" s="55"/>
      <c r="D37" s="55"/>
      <c r="E37" s="46"/>
      <c r="F37" s="46"/>
      <c r="G37" s="1245" t="s">
        <v>1162</v>
      </c>
      <c r="H37" s="1245"/>
      <c r="I37" s="46"/>
      <c r="J37" s="46"/>
      <c r="K37" s="46"/>
      <c r="L37" s="46"/>
      <c r="M37" s="46"/>
      <c r="N37" s="46"/>
      <c r="O37" s="46"/>
      <c r="P37" s="46"/>
      <c r="Q37" s="46"/>
      <c r="R37" s="718" t="s">
        <v>1554</v>
      </c>
    </row>
    <row r="38" spans="1:18" ht="11.25" customHeight="1">
      <c r="A38" s="516" t="s">
        <v>39</v>
      </c>
      <c r="B38" s="55"/>
      <c r="C38" s="55"/>
      <c r="D38" s="55"/>
      <c r="E38" s="46"/>
      <c r="F38" s="46"/>
      <c r="G38" s="46"/>
      <c r="H38" s="46"/>
      <c r="I38" s="46"/>
      <c r="J38" s="46"/>
      <c r="K38" s="46"/>
      <c r="L38" s="46"/>
      <c r="M38" s="46"/>
      <c r="N38" s="46"/>
      <c r="O38" s="46"/>
      <c r="P38" s="46"/>
      <c r="Q38" s="46"/>
      <c r="R38" s="46"/>
    </row>
    <row r="39" spans="1:18" ht="11.25" customHeight="1">
      <c r="A39" s="516" t="s">
        <v>1369</v>
      </c>
      <c r="B39" s="55"/>
      <c r="C39" s="55"/>
      <c r="D39" s="55"/>
      <c r="E39" s="46"/>
      <c r="F39" s="46"/>
      <c r="G39" s="46"/>
      <c r="H39" s="46"/>
      <c r="I39" s="46"/>
      <c r="J39" s="46"/>
      <c r="K39" s="46"/>
      <c r="L39" s="46"/>
      <c r="M39" s="46"/>
      <c r="N39" s="46"/>
      <c r="O39" s="46"/>
      <c r="P39" s="46"/>
      <c r="Q39" s="46"/>
      <c r="R39" s="46"/>
    </row>
    <row r="40" spans="1:18">
      <c r="A40" s="46"/>
      <c r="B40" s="46"/>
      <c r="C40" s="46"/>
      <c r="D40" s="46"/>
      <c r="E40" s="46"/>
      <c r="F40" s="46"/>
      <c r="G40" s="46"/>
      <c r="H40" s="46"/>
      <c r="I40" s="46"/>
      <c r="J40" s="46"/>
      <c r="K40" s="46"/>
      <c r="L40" s="46"/>
      <c r="M40" s="46"/>
      <c r="N40" s="46"/>
      <c r="O40" s="46"/>
      <c r="P40" s="46"/>
      <c r="Q40" s="46"/>
      <c r="R40" s="46"/>
    </row>
  </sheetData>
  <mergeCells count="23">
    <mergeCell ref="G37:H37"/>
    <mergeCell ref="M5:M6"/>
    <mergeCell ref="N5:N6"/>
    <mergeCell ref="F5:G5"/>
    <mergeCell ref="R4:R6"/>
    <mergeCell ref="O5:O6"/>
    <mergeCell ref="J5:K5"/>
    <mergeCell ref="L5:L6"/>
    <mergeCell ref="D4:K4"/>
    <mergeCell ref="A1:R1"/>
    <mergeCell ref="P3:R3"/>
    <mergeCell ref="Q5:Q6"/>
    <mergeCell ref="P4:Q4"/>
    <mergeCell ref="N4:O4"/>
    <mergeCell ref="A5:A6"/>
    <mergeCell ref="B5:B6"/>
    <mergeCell ref="B4:C4"/>
    <mergeCell ref="P5:P6"/>
    <mergeCell ref="C5:C6"/>
    <mergeCell ref="D5:E5"/>
    <mergeCell ref="L4:M4"/>
    <mergeCell ref="H5:I5"/>
    <mergeCell ref="A2:R2"/>
  </mergeCells>
  <phoneticPr fontId="0" type="noConversion"/>
  <printOptions horizontalCentered="1" verticalCentered="1"/>
  <pageMargins left="0.1" right="0.1" top="0.1" bottom="0.1" header="0.15" footer="0.1"/>
  <pageSetup paperSize="9" scale="95" orientation="landscape" r:id="rId1"/>
  <headerFooter alignWithMargins="0"/>
</worksheet>
</file>

<file path=xl/worksheets/sheet18.xml><?xml version="1.0" encoding="utf-8"?>
<worksheet xmlns="http://schemas.openxmlformats.org/spreadsheetml/2006/main" xmlns:r="http://schemas.openxmlformats.org/officeDocument/2006/relationships">
  <sheetPr codeName="Sheet17"/>
  <dimension ref="A1:H51"/>
  <sheetViews>
    <sheetView workbookViewId="0">
      <selection activeCell="M30" sqref="M30"/>
    </sheetView>
  </sheetViews>
  <sheetFormatPr defaultRowHeight="12.75"/>
  <cols>
    <col min="1" max="1" width="2.42578125" style="172" customWidth="1"/>
    <col min="2" max="2" width="2.5703125" style="172" customWidth="1"/>
    <col min="3" max="3" width="27.28515625" style="172" customWidth="1"/>
    <col min="4" max="4" width="11.140625" style="172" customWidth="1"/>
    <col min="5" max="5" width="9.85546875" style="172" customWidth="1"/>
    <col min="6" max="6" width="10.7109375" style="172" customWidth="1"/>
    <col min="7" max="7" width="14.7109375" style="172" customWidth="1"/>
    <col min="8" max="16384" width="9.140625" style="172"/>
  </cols>
  <sheetData>
    <row r="1" spans="1:7" ht="13.5" customHeight="1">
      <c r="A1" s="1267" t="s">
        <v>1597</v>
      </c>
      <c r="B1" s="1267"/>
      <c r="C1" s="1267"/>
      <c r="D1" s="1267"/>
      <c r="E1" s="1267"/>
      <c r="F1" s="1267"/>
      <c r="G1" s="1267"/>
    </row>
    <row r="2" spans="1:7" s="206" customFormat="1" ht="33.75" customHeight="1">
      <c r="A2" s="1226" t="str">
        <f>CONCATENATE("Distribution of Population over different categories of workers 
and non-workers by sex in the district of ",District!$A$1,", 2011")</f>
        <v>Distribution of Population over different categories of workers 
and non-workers by sex in the district of Bankura, 2011</v>
      </c>
      <c r="B2" s="1226"/>
      <c r="C2" s="1226"/>
      <c r="D2" s="1226"/>
      <c r="E2" s="1226"/>
      <c r="F2" s="1226"/>
      <c r="G2" s="1226"/>
    </row>
    <row r="3" spans="1:7" ht="15" customHeight="1">
      <c r="A3" s="1258" t="s">
        <v>577</v>
      </c>
      <c r="B3" s="1259"/>
      <c r="C3" s="1260"/>
      <c r="D3" s="1258" t="s">
        <v>308</v>
      </c>
      <c r="E3" s="1259"/>
      <c r="F3" s="1260"/>
      <c r="G3" s="1194" t="s">
        <v>791</v>
      </c>
    </row>
    <row r="4" spans="1:7" ht="15" customHeight="1">
      <c r="A4" s="1261"/>
      <c r="B4" s="1262"/>
      <c r="C4" s="1263"/>
      <c r="D4" s="1264"/>
      <c r="E4" s="1265"/>
      <c r="F4" s="1266"/>
      <c r="G4" s="1217"/>
    </row>
    <row r="5" spans="1:7" ht="15" customHeight="1">
      <c r="A5" s="1264"/>
      <c r="B5" s="1265"/>
      <c r="C5" s="1266"/>
      <c r="D5" s="54" t="s">
        <v>531</v>
      </c>
      <c r="E5" s="54" t="s">
        <v>532</v>
      </c>
      <c r="F5" s="54" t="s">
        <v>439</v>
      </c>
      <c r="G5" s="1195"/>
    </row>
    <row r="6" spans="1:7" ht="15" customHeight="1">
      <c r="A6" s="1201" t="s">
        <v>418</v>
      </c>
      <c r="B6" s="1202"/>
      <c r="C6" s="1257"/>
      <c r="D6" s="222" t="s">
        <v>419</v>
      </c>
      <c r="E6" s="222" t="s">
        <v>420</v>
      </c>
      <c r="F6" s="222" t="s">
        <v>421</v>
      </c>
      <c r="G6" s="213" t="s">
        <v>422</v>
      </c>
    </row>
    <row r="7" spans="1:7" ht="16.5" customHeight="1">
      <c r="A7" s="340" t="s">
        <v>584</v>
      </c>
      <c r="B7" s="87" t="s">
        <v>578</v>
      </c>
      <c r="C7" s="86"/>
      <c r="D7" s="266"/>
      <c r="E7" s="266"/>
      <c r="F7" s="266"/>
      <c r="G7" s="341"/>
    </row>
    <row r="8" spans="1:7" ht="16.5" customHeight="1">
      <c r="A8" s="1255" t="s">
        <v>579</v>
      </c>
      <c r="B8" s="1256"/>
      <c r="C8" s="86" t="s">
        <v>580</v>
      </c>
      <c r="D8" s="266"/>
      <c r="E8" s="266"/>
      <c r="F8" s="266"/>
      <c r="G8" s="341"/>
    </row>
    <row r="9" spans="1:7" ht="16.5" customHeight="1">
      <c r="A9" s="1248"/>
      <c r="B9" s="1249"/>
      <c r="C9" s="197" t="s">
        <v>534</v>
      </c>
      <c r="D9" s="342">
        <v>687046</v>
      </c>
      <c r="E9" s="342">
        <v>137922</v>
      </c>
      <c r="F9" s="302">
        <f>D9+E9</f>
        <v>824968</v>
      </c>
      <c r="G9" s="343">
        <f>ROUND(F9/$F$21*100,2)</f>
        <v>25.02</v>
      </c>
    </row>
    <row r="10" spans="1:7" ht="16.5" customHeight="1">
      <c r="A10" s="1248"/>
      <c r="B10" s="1249"/>
      <c r="C10" s="197" t="s">
        <v>533</v>
      </c>
      <c r="D10" s="342">
        <v>75042</v>
      </c>
      <c r="E10" s="342">
        <v>16383</v>
      </c>
      <c r="F10" s="302">
        <f>D10+E10</f>
        <v>91425</v>
      </c>
      <c r="G10" s="343">
        <f>ROUND(F10/$F$22*100,2)</f>
        <v>30.5</v>
      </c>
    </row>
    <row r="11" spans="1:7" ht="16.5" customHeight="1">
      <c r="A11" s="1248"/>
      <c r="B11" s="1249"/>
      <c r="C11" s="86" t="s">
        <v>581</v>
      </c>
      <c r="D11" s="12">
        <f>D9+D10</f>
        <v>762088</v>
      </c>
      <c r="E11" s="12">
        <f>E9+E10</f>
        <v>154305</v>
      </c>
      <c r="F11" s="12">
        <f>F9+F10</f>
        <v>916393</v>
      </c>
      <c r="G11" s="77">
        <f>ROUND(F11/F23*100,2)</f>
        <v>25.48</v>
      </c>
    </row>
    <row r="12" spans="1:7" ht="16.5" customHeight="1">
      <c r="A12" s="1255" t="s">
        <v>582</v>
      </c>
      <c r="B12" s="1256"/>
      <c r="C12" s="86" t="s">
        <v>583</v>
      </c>
      <c r="D12" s="302"/>
      <c r="E12" s="302"/>
      <c r="F12" s="302"/>
      <c r="G12" s="343"/>
    </row>
    <row r="13" spans="1:7" ht="16.5" customHeight="1">
      <c r="A13" s="1248"/>
      <c r="B13" s="1249"/>
      <c r="C13" s="197" t="s">
        <v>534</v>
      </c>
      <c r="D13" s="342">
        <v>278480</v>
      </c>
      <c r="E13" s="342">
        <v>253466</v>
      </c>
      <c r="F13" s="302">
        <f>D13+E13</f>
        <v>531946</v>
      </c>
      <c r="G13" s="343">
        <v>16.14</v>
      </c>
    </row>
    <row r="14" spans="1:7" ht="16.5" customHeight="1">
      <c r="A14" s="1248"/>
      <c r="B14" s="1249"/>
      <c r="C14" s="197" t="s">
        <v>533</v>
      </c>
      <c r="D14" s="342">
        <v>10254</v>
      </c>
      <c r="E14" s="342">
        <v>7627</v>
      </c>
      <c r="F14" s="302">
        <f>D14+E14</f>
        <v>17881</v>
      </c>
      <c r="G14" s="343">
        <f>ROUND(F14/$F$22*100,2)</f>
        <v>5.96</v>
      </c>
    </row>
    <row r="15" spans="1:7" ht="16.5" customHeight="1">
      <c r="A15" s="246"/>
      <c r="B15" s="189"/>
      <c r="C15" s="86" t="s">
        <v>581</v>
      </c>
      <c r="D15" s="103">
        <f>D13+D14</f>
        <v>288734</v>
      </c>
      <c r="E15" s="103">
        <f>E13+E14</f>
        <v>261093</v>
      </c>
      <c r="F15" s="103">
        <f>F13+F14</f>
        <v>549827</v>
      </c>
      <c r="G15" s="77">
        <f>ROUND(F15/F23*100,2)</f>
        <v>15.29</v>
      </c>
    </row>
    <row r="16" spans="1:7" ht="16.5" customHeight="1">
      <c r="A16" s="340" t="s">
        <v>1051</v>
      </c>
      <c r="B16" s="87" t="s">
        <v>790</v>
      </c>
      <c r="C16" s="86"/>
      <c r="D16" s="302"/>
      <c r="E16" s="302"/>
      <c r="F16" s="302"/>
      <c r="G16" s="343"/>
    </row>
    <row r="17" spans="1:8" ht="16.5" customHeight="1">
      <c r="A17" s="1248"/>
      <c r="B17" s="1249"/>
      <c r="C17" s="197" t="s">
        <v>534</v>
      </c>
      <c r="D17" s="342">
        <v>720251</v>
      </c>
      <c r="E17" s="342">
        <v>1219736</v>
      </c>
      <c r="F17" s="302">
        <f>SUM(D17,E17)</f>
        <v>1939987</v>
      </c>
      <c r="G17" s="343">
        <f>ROUND(F17/$F$21*100,2)</f>
        <v>58.84</v>
      </c>
    </row>
    <row r="18" spans="1:8" ht="16.5" customHeight="1">
      <c r="A18" s="1248"/>
      <c r="B18" s="1249"/>
      <c r="C18" s="197" t="s">
        <v>533</v>
      </c>
      <c r="D18" s="342">
        <v>67022</v>
      </c>
      <c r="E18" s="342">
        <v>123445</v>
      </c>
      <c r="F18" s="302">
        <f>D18+E18</f>
        <v>190467</v>
      </c>
      <c r="G18" s="343">
        <f>ROUND(F18/$F$22*100,2)</f>
        <v>63.54</v>
      </c>
    </row>
    <row r="19" spans="1:8" ht="16.5" customHeight="1">
      <c r="A19" s="246"/>
      <c r="B19" s="189"/>
      <c r="C19" s="86" t="s">
        <v>581</v>
      </c>
      <c r="D19" s="103">
        <f>D17+D18</f>
        <v>787273</v>
      </c>
      <c r="E19" s="103">
        <f>E17+E18</f>
        <v>1343181</v>
      </c>
      <c r="F19" s="103">
        <f>F17+F18</f>
        <v>2130454</v>
      </c>
      <c r="G19" s="77">
        <f>ROUND(F19/F23*100,2)</f>
        <v>59.23</v>
      </c>
    </row>
    <row r="20" spans="1:8" ht="16.5" customHeight="1">
      <c r="A20" s="45" t="s">
        <v>750</v>
      </c>
      <c r="B20" s="87"/>
      <c r="C20" s="86"/>
      <c r="D20" s="302"/>
      <c r="E20" s="302"/>
      <c r="F20" s="302"/>
      <c r="G20" s="343"/>
    </row>
    <row r="21" spans="1:8" ht="16.5" customHeight="1">
      <c r="A21" s="1248"/>
      <c r="B21" s="1249"/>
      <c r="C21" s="197" t="s">
        <v>534</v>
      </c>
      <c r="D21" s="342">
        <f t="shared" ref="D21:F22" si="0">D9+D13+D17</f>
        <v>1685777</v>
      </c>
      <c r="E21" s="342">
        <f t="shared" si="0"/>
        <v>1611124</v>
      </c>
      <c r="F21" s="302">
        <f t="shared" si="0"/>
        <v>3296901</v>
      </c>
      <c r="G21" s="70">
        <f>SUM(G9,G13,G17)</f>
        <v>100</v>
      </c>
    </row>
    <row r="22" spans="1:8" ht="16.5" customHeight="1">
      <c r="A22" s="1248"/>
      <c r="B22" s="1249"/>
      <c r="C22" s="197" t="s">
        <v>533</v>
      </c>
      <c r="D22" s="342">
        <f t="shared" si="0"/>
        <v>152318</v>
      </c>
      <c r="E22" s="342">
        <f t="shared" si="0"/>
        <v>147455</v>
      </c>
      <c r="F22" s="302">
        <f t="shared" si="0"/>
        <v>299773</v>
      </c>
      <c r="G22" s="70">
        <f>SUM(G10,G14,G18)</f>
        <v>100</v>
      </c>
    </row>
    <row r="23" spans="1:8" ht="16.5" customHeight="1">
      <c r="A23" s="1268"/>
      <c r="B23" s="1269"/>
      <c r="C23" s="86" t="s">
        <v>581</v>
      </c>
      <c r="D23" s="103">
        <f>D21+D22</f>
        <v>1838095</v>
      </c>
      <c r="E23" s="103">
        <f>E21+E22</f>
        <v>1758579</v>
      </c>
      <c r="F23" s="103">
        <f>F21+F22</f>
        <v>3596674</v>
      </c>
      <c r="G23" s="77">
        <f>G11+G15+G19</f>
        <v>100</v>
      </c>
    </row>
    <row r="24" spans="1:8" ht="15" customHeight="1">
      <c r="A24" s="1258" t="s">
        <v>577</v>
      </c>
      <c r="B24" s="1259"/>
      <c r="C24" s="1260"/>
      <c r="D24" s="1258" t="s">
        <v>308</v>
      </c>
      <c r="E24" s="1259"/>
      <c r="F24" s="1260"/>
      <c r="G24" s="1194" t="s">
        <v>792</v>
      </c>
    </row>
    <row r="25" spans="1:8" ht="15" customHeight="1">
      <c r="A25" s="1261"/>
      <c r="B25" s="1262"/>
      <c r="C25" s="1263"/>
      <c r="D25" s="1264"/>
      <c r="E25" s="1265"/>
      <c r="F25" s="1266"/>
      <c r="G25" s="1217"/>
    </row>
    <row r="26" spans="1:8" ht="15" customHeight="1">
      <c r="A26" s="1264"/>
      <c r="B26" s="1265"/>
      <c r="C26" s="1266"/>
      <c r="D26" s="54" t="s">
        <v>531</v>
      </c>
      <c r="E26" s="54" t="s">
        <v>532</v>
      </c>
      <c r="F26" s="54" t="s">
        <v>439</v>
      </c>
      <c r="G26" s="1195"/>
    </row>
    <row r="27" spans="1:8" ht="15" customHeight="1">
      <c r="A27" s="1201" t="s">
        <v>423</v>
      </c>
      <c r="B27" s="1202"/>
      <c r="C27" s="1257"/>
      <c r="D27" s="222" t="s">
        <v>424</v>
      </c>
      <c r="E27" s="222" t="s">
        <v>440</v>
      </c>
      <c r="F27" s="222" t="s">
        <v>441</v>
      </c>
      <c r="G27" s="213" t="s">
        <v>442</v>
      </c>
    </row>
    <row r="28" spans="1:8" ht="16.5" customHeight="1">
      <c r="A28" s="45" t="s">
        <v>584</v>
      </c>
      <c r="B28" s="87" t="s">
        <v>578</v>
      </c>
      <c r="C28" s="86"/>
      <c r="D28" s="302"/>
      <c r="E28" s="302"/>
      <c r="F28" s="302"/>
      <c r="G28" s="183"/>
    </row>
    <row r="29" spans="1:8" ht="16.5" customHeight="1">
      <c r="A29" s="1253" t="s">
        <v>942</v>
      </c>
      <c r="B29" s="1181"/>
      <c r="C29" s="86" t="s">
        <v>585</v>
      </c>
      <c r="D29" s="302"/>
      <c r="E29" s="302"/>
      <c r="F29" s="302"/>
      <c r="G29" s="183"/>
    </row>
    <row r="30" spans="1:8" ht="16.5" customHeight="1">
      <c r="A30" s="1248"/>
      <c r="B30" s="1249"/>
      <c r="C30" s="197" t="s">
        <v>534</v>
      </c>
      <c r="D30" s="342">
        <v>275483</v>
      </c>
      <c r="E30" s="342">
        <v>32395</v>
      </c>
      <c r="F30" s="302">
        <f>D30+E30</f>
        <v>307878</v>
      </c>
      <c r="G30" s="343">
        <f>ROUND(F30/F46*100,2)</f>
        <v>22.69</v>
      </c>
      <c r="H30" s="177"/>
    </row>
    <row r="31" spans="1:8" ht="16.5" customHeight="1">
      <c r="A31" s="1248"/>
      <c r="B31" s="1249"/>
      <c r="C31" s="197" t="s">
        <v>533</v>
      </c>
      <c r="D31" s="342">
        <v>1498</v>
      </c>
      <c r="E31" s="342">
        <v>347</v>
      </c>
      <c r="F31" s="302">
        <f>D31+E31</f>
        <v>1845</v>
      </c>
      <c r="G31" s="343">
        <f>ROUND(F31/F47*100,2)</f>
        <v>1.69</v>
      </c>
    </row>
    <row r="32" spans="1:8" ht="16.5" customHeight="1">
      <c r="A32" s="246"/>
      <c r="B32" s="189"/>
      <c r="C32" s="86" t="s">
        <v>581</v>
      </c>
      <c r="D32" s="103">
        <f>D30+D31</f>
        <v>276981</v>
      </c>
      <c r="E32" s="103">
        <f>E30+E31</f>
        <v>32742</v>
      </c>
      <c r="F32" s="103">
        <f>F30+F31</f>
        <v>309723</v>
      </c>
      <c r="G32" s="77">
        <f>ROUND(F32/F48*100,2)</f>
        <v>21.12</v>
      </c>
    </row>
    <row r="33" spans="1:7" ht="16.5" customHeight="1">
      <c r="A33" s="1253" t="s">
        <v>943</v>
      </c>
      <c r="B33" s="1181"/>
      <c r="C33" s="86" t="s">
        <v>587</v>
      </c>
      <c r="D33" s="302"/>
      <c r="E33" s="302"/>
      <c r="F33" s="302"/>
      <c r="G33" s="343"/>
    </row>
    <row r="34" spans="1:7" ht="16.5" customHeight="1">
      <c r="A34" s="1248"/>
      <c r="B34" s="1249"/>
      <c r="C34" s="197" t="s">
        <v>534</v>
      </c>
      <c r="D34" s="342">
        <v>382322</v>
      </c>
      <c r="E34" s="342">
        <v>260504</v>
      </c>
      <c r="F34" s="302">
        <f>D34+E34</f>
        <v>642826</v>
      </c>
      <c r="G34" s="343">
        <f>ROUND(F34/F46*100,2)</f>
        <v>47.37</v>
      </c>
    </row>
    <row r="35" spans="1:7" ht="16.5" customHeight="1">
      <c r="A35" s="1248"/>
      <c r="B35" s="1249"/>
      <c r="C35" s="197" t="s">
        <v>533</v>
      </c>
      <c r="D35" s="342">
        <v>2727</v>
      </c>
      <c r="E35" s="342">
        <v>1821</v>
      </c>
      <c r="F35" s="302">
        <f>D35+E35</f>
        <v>4548</v>
      </c>
      <c r="G35" s="343">
        <f>ROUND(F35/F47*100,2)</f>
        <v>4.16</v>
      </c>
    </row>
    <row r="36" spans="1:7" ht="16.5" customHeight="1">
      <c r="A36" s="246"/>
      <c r="B36" s="189"/>
      <c r="C36" s="86" t="s">
        <v>581</v>
      </c>
      <c r="D36" s="103">
        <f>D34+D35</f>
        <v>385049</v>
      </c>
      <c r="E36" s="103">
        <f>E34+E35</f>
        <v>262325</v>
      </c>
      <c r="F36" s="103">
        <f>F34+F35</f>
        <v>647374</v>
      </c>
      <c r="G36" s="77">
        <f>ROUND(F36/F48*100,2)</f>
        <v>44.15</v>
      </c>
    </row>
    <row r="37" spans="1:7" ht="16.5" customHeight="1">
      <c r="A37" s="1253" t="s">
        <v>944</v>
      </c>
      <c r="B37" s="1181"/>
      <c r="C37" s="86" t="s">
        <v>588</v>
      </c>
      <c r="D37" s="302"/>
      <c r="E37" s="302"/>
      <c r="F37" s="302"/>
      <c r="G37" s="343"/>
    </row>
    <row r="38" spans="1:7" ht="16.5" customHeight="1">
      <c r="A38" s="1248"/>
      <c r="B38" s="1249"/>
      <c r="C38" s="197" t="s">
        <v>534</v>
      </c>
      <c r="D38" s="342">
        <v>25866</v>
      </c>
      <c r="E38" s="342">
        <v>28426</v>
      </c>
      <c r="F38" s="302">
        <f>D38+E38</f>
        <v>54292</v>
      </c>
      <c r="G38" s="343">
        <f>ROUND(F38/F46*100,2)</f>
        <v>4</v>
      </c>
    </row>
    <row r="39" spans="1:7" ht="16.5" customHeight="1">
      <c r="A39" s="1248"/>
      <c r="B39" s="1249"/>
      <c r="C39" s="197" t="s">
        <v>533</v>
      </c>
      <c r="D39" s="342">
        <v>4133</v>
      </c>
      <c r="E39" s="342">
        <v>2961</v>
      </c>
      <c r="F39" s="302">
        <f>D39+E39</f>
        <v>7094</v>
      </c>
      <c r="G39" s="343">
        <f>ROUND(F39/F47*100,2)</f>
        <v>6.49</v>
      </c>
    </row>
    <row r="40" spans="1:7" ht="16.5" customHeight="1">
      <c r="A40" s="246"/>
      <c r="B40" s="189"/>
      <c r="C40" s="86" t="s">
        <v>581</v>
      </c>
      <c r="D40" s="103">
        <f>D38+D39</f>
        <v>29999</v>
      </c>
      <c r="E40" s="103">
        <f>E38+E39</f>
        <v>31387</v>
      </c>
      <c r="F40" s="103">
        <f>F38+F39</f>
        <v>61386</v>
      </c>
      <c r="G40" s="77">
        <f>ROUND(F40/F48*100,2)</f>
        <v>4.1900000000000004</v>
      </c>
    </row>
    <row r="41" spans="1:7" ht="16.5" customHeight="1">
      <c r="A41" s="1253" t="s">
        <v>945</v>
      </c>
      <c r="B41" s="1181"/>
      <c r="C41" s="86" t="s">
        <v>589</v>
      </c>
      <c r="D41" s="302"/>
      <c r="E41" s="302"/>
      <c r="F41" s="302"/>
      <c r="G41" s="343"/>
    </row>
    <row r="42" spans="1:7" ht="16.5" customHeight="1">
      <c r="A42" s="1248"/>
      <c r="B42" s="1249"/>
      <c r="C42" s="197" t="s">
        <v>534</v>
      </c>
      <c r="D42" s="342">
        <v>281855</v>
      </c>
      <c r="E42" s="342">
        <v>70063</v>
      </c>
      <c r="F42" s="302">
        <f>D42+E42</f>
        <v>351918</v>
      </c>
      <c r="G42" s="343">
        <f>ROUND(F42/F46*100,2)</f>
        <v>25.94</v>
      </c>
    </row>
    <row r="43" spans="1:7" ht="16.5" customHeight="1">
      <c r="A43" s="1248"/>
      <c r="B43" s="1249"/>
      <c r="C43" s="197" t="s">
        <v>533</v>
      </c>
      <c r="D43" s="342">
        <v>76938</v>
      </c>
      <c r="E43" s="342">
        <v>18881</v>
      </c>
      <c r="F43" s="302">
        <f>D43+E43</f>
        <v>95819</v>
      </c>
      <c r="G43" s="343">
        <f>ROUND(F43/F47*100,2)</f>
        <v>87.66</v>
      </c>
    </row>
    <row r="44" spans="1:7" ht="16.5" customHeight="1">
      <c r="A44" s="246"/>
      <c r="B44" s="189"/>
      <c r="C44" s="86" t="s">
        <v>581</v>
      </c>
      <c r="D44" s="103">
        <f>D42+D43</f>
        <v>358793</v>
      </c>
      <c r="E44" s="103">
        <f>E42+E43</f>
        <v>88944</v>
      </c>
      <c r="F44" s="103">
        <f>F42+F43</f>
        <v>447737</v>
      </c>
      <c r="G44" s="77">
        <f>ROUND(F44/F48*100,2)</f>
        <v>30.54</v>
      </c>
    </row>
    <row r="45" spans="1:7" ht="16.5" customHeight="1">
      <c r="A45" s="1250" t="s">
        <v>590</v>
      </c>
      <c r="B45" s="1251"/>
      <c r="C45" s="1252"/>
      <c r="D45" s="302"/>
      <c r="E45" s="302"/>
      <c r="F45" s="302"/>
      <c r="G45" s="343"/>
    </row>
    <row r="46" spans="1:7" ht="16.5" customHeight="1">
      <c r="A46" s="1248"/>
      <c r="B46" s="1249"/>
      <c r="C46" s="197" t="s">
        <v>534</v>
      </c>
      <c r="D46" s="302">
        <f>D30+D34+D38+D42</f>
        <v>965526</v>
      </c>
      <c r="E46" s="302">
        <f>E30+E34+E38+E42</f>
        <v>391388</v>
      </c>
      <c r="F46" s="302">
        <f>D46+E46</f>
        <v>1356914</v>
      </c>
      <c r="G46" s="70">
        <f>SUM(G30,G34,G38,G42)</f>
        <v>100</v>
      </c>
    </row>
    <row r="47" spans="1:7" ht="16.5" customHeight="1">
      <c r="A47" s="1248"/>
      <c r="B47" s="1249"/>
      <c r="C47" s="197" t="s">
        <v>533</v>
      </c>
      <c r="D47" s="189">
        <f>D31+D35+D39+D43</f>
        <v>85296</v>
      </c>
      <c r="E47" s="302">
        <f>E31+E35+E39+E43</f>
        <v>24010</v>
      </c>
      <c r="F47" s="302">
        <f>D47+E47</f>
        <v>109306</v>
      </c>
      <c r="G47" s="70">
        <f>SUM(G31,G35,G39,G43)</f>
        <v>100</v>
      </c>
    </row>
    <row r="48" spans="1:7" ht="16.5" customHeight="1">
      <c r="A48" s="440"/>
      <c r="B48" s="611"/>
      <c r="C48" s="649" t="s">
        <v>581</v>
      </c>
      <c r="D48" s="97">
        <f>D46+D47</f>
        <v>1050822</v>
      </c>
      <c r="E48" s="106">
        <f>E46+E47</f>
        <v>415398</v>
      </c>
      <c r="F48" s="98">
        <f>F46+F47</f>
        <v>1466220</v>
      </c>
      <c r="G48" s="116">
        <f>G32+G36+G40+G44</f>
        <v>100</v>
      </c>
    </row>
    <row r="49" spans="1:7">
      <c r="A49" s="189"/>
      <c r="B49" s="189"/>
      <c r="C49" s="190"/>
      <c r="D49" s="189"/>
      <c r="E49" s="1254" t="s">
        <v>1554</v>
      </c>
      <c r="F49" s="1254"/>
      <c r="G49" s="1254"/>
    </row>
    <row r="50" spans="1:7">
      <c r="A50" s="266"/>
      <c r="B50" s="266"/>
      <c r="C50" s="266"/>
      <c r="D50" s="266"/>
      <c r="E50" s="348"/>
      <c r="F50" s="266"/>
      <c r="G50" s="266"/>
    </row>
    <row r="51" spans="1:7">
      <c r="A51" s="266"/>
      <c r="B51" s="266"/>
      <c r="C51" s="266"/>
      <c r="D51" s="266"/>
      <c r="E51" s="266"/>
      <c r="F51" s="266"/>
      <c r="G51" s="266"/>
    </row>
  </sheetData>
  <mergeCells count="38">
    <mergeCell ref="A30:B30"/>
    <mergeCell ref="A1:G1"/>
    <mergeCell ref="A24:C26"/>
    <mergeCell ref="D24:F25"/>
    <mergeCell ref="G24:G26"/>
    <mergeCell ref="A10:B10"/>
    <mergeCell ref="A12:B12"/>
    <mergeCell ref="A13:B13"/>
    <mergeCell ref="A14:B14"/>
    <mergeCell ref="A11:B11"/>
    <mergeCell ref="A2:G2"/>
    <mergeCell ref="D3:F4"/>
    <mergeCell ref="A23:B23"/>
    <mergeCell ref="E49:G49"/>
    <mergeCell ref="G3:G5"/>
    <mergeCell ref="A8:B8"/>
    <mergeCell ref="A9:B9"/>
    <mergeCell ref="A21:B21"/>
    <mergeCell ref="A22:B22"/>
    <mergeCell ref="A17:B17"/>
    <mergeCell ref="A18:B18"/>
    <mergeCell ref="A29:B29"/>
    <mergeCell ref="A31:B31"/>
    <mergeCell ref="A33:B33"/>
    <mergeCell ref="A34:B34"/>
    <mergeCell ref="A37:B37"/>
    <mergeCell ref="A27:C27"/>
    <mergeCell ref="A6:C6"/>
    <mergeCell ref="A3:C5"/>
    <mergeCell ref="A38:B38"/>
    <mergeCell ref="A39:B39"/>
    <mergeCell ref="A35:B35"/>
    <mergeCell ref="A47:B47"/>
    <mergeCell ref="A46:B46"/>
    <mergeCell ref="A45:C45"/>
    <mergeCell ref="A43:B43"/>
    <mergeCell ref="A41:B41"/>
    <mergeCell ref="A42:B42"/>
  </mergeCells>
  <phoneticPr fontId="0" type="noConversion"/>
  <printOptions horizontalCentered="1"/>
  <pageMargins left="0.1" right="0.1" top="0.5" bottom="0.1" header="0.5" footer="0.1"/>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sheetPr codeName="Sheet18"/>
  <dimension ref="B1:K59"/>
  <sheetViews>
    <sheetView topLeftCell="A34" workbookViewId="0">
      <selection activeCell="M30" sqref="M30"/>
    </sheetView>
  </sheetViews>
  <sheetFormatPr defaultRowHeight="12.75"/>
  <cols>
    <col min="1" max="1" width="2" style="172" customWidth="1"/>
    <col min="2" max="2" width="18.140625" style="172" customWidth="1"/>
    <col min="3" max="4" width="10.7109375" style="172" customWidth="1"/>
    <col min="5" max="5" width="11.42578125" style="172" customWidth="1"/>
    <col min="6" max="7" width="10.7109375" style="172" customWidth="1"/>
    <col min="8" max="8" width="12.28515625" style="172" customWidth="1"/>
    <col min="9" max="16384" width="9.140625" style="172"/>
  </cols>
  <sheetData>
    <row r="1" spans="2:10" ht="12" customHeight="1">
      <c r="B1" s="1181" t="s">
        <v>1595</v>
      </c>
      <c r="C1" s="1181"/>
      <c r="D1" s="1181"/>
      <c r="E1" s="1181"/>
      <c r="F1" s="1181"/>
      <c r="G1" s="1181"/>
      <c r="H1" s="1181"/>
    </row>
    <row r="2" spans="2:10" ht="30.75" customHeight="1">
      <c r="B2" s="1226" t="str">
        <f>CONCATENATE("Scheduled Caste and Scheduled Tribe Population by sex 
in the district of ",District!$A$1,", 2011")</f>
        <v>Scheduled Caste and Scheduled Tribe Population by sex 
in the district of Bankura, 2011</v>
      </c>
      <c r="C2" s="1226"/>
      <c r="D2" s="1226"/>
      <c r="E2" s="1226"/>
      <c r="F2" s="1226"/>
      <c r="G2" s="1226"/>
      <c r="H2" s="1226"/>
      <c r="I2" s="7"/>
      <c r="J2" s="7"/>
    </row>
    <row r="3" spans="2:10" ht="12" customHeight="1">
      <c r="B3" s="266"/>
      <c r="C3" s="349"/>
      <c r="D3" s="349"/>
      <c r="E3" s="349"/>
      <c r="F3" s="349"/>
      <c r="G3" s="349"/>
      <c r="H3" s="114" t="s">
        <v>452</v>
      </c>
    </row>
    <row r="4" spans="2:10" ht="12.75" customHeight="1">
      <c r="B4" s="1194" t="s">
        <v>1063</v>
      </c>
      <c r="C4" s="1191" t="s">
        <v>1163</v>
      </c>
      <c r="D4" s="1191"/>
      <c r="E4" s="1192"/>
      <c r="F4" s="1193" t="s">
        <v>1164</v>
      </c>
      <c r="G4" s="1191"/>
      <c r="H4" s="1192"/>
    </row>
    <row r="5" spans="2:10" ht="12.75" customHeight="1">
      <c r="B5" s="1195"/>
      <c r="C5" s="24" t="s">
        <v>531</v>
      </c>
      <c r="D5" s="24" t="s">
        <v>532</v>
      </c>
      <c r="E5" s="39" t="s">
        <v>439</v>
      </c>
      <c r="F5" s="29" t="s">
        <v>531</v>
      </c>
      <c r="G5" s="24" t="s">
        <v>532</v>
      </c>
      <c r="H5" s="39" t="s">
        <v>439</v>
      </c>
    </row>
    <row r="6" spans="2:10" ht="12" customHeight="1">
      <c r="B6" s="213" t="s">
        <v>418</v>
      </c>
      <c r="C6" s="222" t="s">
        <v>419</v>
      </c>
      <c r="D6" s="222" t="s">
        <v>420</v>
      </c>
      <c r="E6" s="214" t="s">
        <v>421</v>
      </c>
      <c r="F6" s="221" t="s">
        <v>422</v>
      </c>
      <c r="G6" s="222" t="s">
        <v>423</v>
      </c>
      <c r="H6" s="214" t="s">
        <v>424</v>
      </c>
    </row>
    <row r="7" spans="2:10" ht="12.75" customHeight="1">
      <c r="B7" s="350" t="s">
        <v>647</v>
      </c>
      <c r="C7" s="93">
        <f>SUM(C8:C16)</f>
        <v>233907</v>
      </c>
      <c r="D7" s="275">
        <f>SUM(D8:D16)</f>
        <v>229592</v>
      </c>
      <c r="E7" s="28">
        <f>C7+D7</f>
        <v>463499</v>
      </c>
      <c r="F7" s="103">
        <f>SUM(F8:F16)</f>
        <v>50858</v>
      </c>
      <c r="G7" s="103">
        <f>SUM(G8:G16)</f>
        <v>50998</v>
      </c>
      <c r="H7" s="28">
        <f>F7+G7</f>
        <v>101856</v>
      </c>
    </row>
    <row r="8" spans="2:10" ht="12.75" customHeight="1">
      <c r="B8" s="351" t="s">
        <v>596</v>
      </c>
      <c r="C8" s="298">
        <v>20349</v>
      </c>
      <c r="D8" s="329">
        <v>19604</v>
      </c>
      <c r="E8" s="184">
        <f t="shared" ref="E8:E16" si="0">C8+D8</f>
        <v>39953</v>
      </c>
      <c r="F8" s="298">
        <v>3292</v>
      </c>
      <c r="G8" s="329">
        <v>3262</v>
      </c>
      <c r="H8" s="184">
        <f t="shared" ref="H8:H16" si="1">F8+G8</f>
        <v>6554</v>
      </c>
    </row>
    <row r="9" spans="2:10" ht="12.75" customHeight="1">
      <c r="B9" s="351" t="s">
        <v>365</v>
      </c>
      <c r="C9" s="298">
        <v>15105</v>
      </c>
      <c r="D9" s="329">
        <v>15347</v>
      </c>
      <c r="E9" s="184">
        <f t="shared" si="0"/>
        <v>30452</v>
      </c>
      <c r="F9" s="298">
        <v>537</v>
      </c>
      <c r="G9" s="329">
        <v>547</v>
      </c>
      <c r="H9" s="184">
        <f t="shared" si="1"/>
        <v>1084</v>
      </c>
    </row>
    <row r="10" spans="2:10" ht="12.75" customHeight="1">
      <c r="B10" s="351" t="s">
        <v>595</v>
      </c>
      <c r="C10" s="298">
        <v>21167</v>
      </c>
      <c r="D10" s="329">
        <v>20831</v>
      </c>
      <c r="E10" s="184">
        <f t="shared" si="0"/>
        <v>41998</v>
      </c>
      <c r="F10" s="298">
        <v>1747</v>
      </c>
      <c r="G10" s="329">
        <v>1761</v>
      </c>
      <c r="H10" s="184">
        <f t="shared" si="1"/>
        <v>3508</v>
      </c>
    </row>
    <row r="11" spans="2:10" ht="12.75" customHeight="1">
      <c r="B11" s="351" t="s">
        <v>597</v>
      </c>
      <c r="C11" s="298">
        <v>29568</v>
      </c>
      <c r="D11" s="329">
        <v>28925</v>
      </c>
      <c r="E11" s="184">
        <f t="shared" si="0"/>
        <v>58493</v>
      </c>
      <c r="F11" s="298">
        <v>19736</v>
      </c>
      <c r="G11" s="329">
        <v>20239</v>
      </c>
      <c r="H11" s="184">
        <f t="shared" si="1"/>
        <v>39975</v>
      </c>
    </row>
    <row r="12" spans="2:10" ht="12.75" customHeight="1">
      <c r="B12" s="351" t="s">
        <v>598</v>
      </c>
      <c r="C12" s="298">
        <v>23611</v>
      </c>
      <c r="D12" s="329">
        <v>22886</v>
      </c>
      <c r="E12" s="184">
        <f t="shared" si="0"/>
        <v>46497</v>
      </c>
      <c r="F12" s="298">
        <v>12890</v>
      </c>
      <c r="G12" s="329">
        <v>12806</v>
      </c>
      <c r="H12" s="184">
        <f t="shared" si="1"/>
        <v>25696</v>
      </c>
    </row>
    <row r="13" spans="2:10" ht="12.75" customHeight="1">
      <c r="B13" s="351" t="s">
        <v>599</v>
      </c>
      <c r="C13" s="298">
        <v>15139</v>
      </c>
      <c r="D13" s="329">
        <v>14817</v>
      </c>
      <c r="E13" s="184">
        <f t="shared" si="0"/>
        <v>29956</v>
      </c>
      <c r="F13" s="298">
        <v>1069</v>
      </c>
      <c r="G13" s="329">
        <v>1045</v>
      </c>
      <c r="H13" s="184">
        <f t="shared" si="1"/>
        <v>2114</v>
      </c>
    </row>
    <row r="14" spans="2:10" ht="12.75" customHeight="1">
      <c r="B14" s="351" t="s">
        <v>771</v>
      </c>
      <c r="C14" s="298">
        <v>32252</v>
      </c>
      <c r="D14" s="329">
        <v>31580</v>
      </c>
      <c r="E14" s="184">
        <f t="shared" si="0"/>
        <v>63832</v>
      </c>
      <c r="F14" s="298">
        <v>3598</v>
      </c>
      <c r="G14" s="329">
        <v>3562</v>
      </c>
      <c r="H14" s="184">
        <f t="shared" si="1"/>
        <v>7160</v>
      </c>
    </row>
    <row r="15" spans="2:10" ht="12.75" customHeight="1">
      <c r="B15" s="351" t="s">
        <v>600</v>
      </c>
      <c r="C15" s="298">
        <v>34672</v>
      </c>
      <c r="D15" s="329">
        <v>33713</v>
      </c>
      <c r="E15" s="184">
        <f t="shared" si="0"/>
        <v>68385</v>
      </c>
      <c r="F15" s="298">
        <v>1693</v>
      </c>
      <c r="G15" s="329">
        <v>1629</v>
      </c>
      <c r="H15" s="184">
        <f t="shared" si="1"/>
        <v>3322</v>
      </c>
    </row>
    <row r="16" spans="2:10" ht="12.75" customHeight="1">
      <c r="B16" s="351" t="s">
        <v>602</v>
      </c>
      <c r="C16" s="298">
        <v>42044</v>
      </c>
      <c r="D16" s="329">
        <v>41889</v>
      </c>
      <c r="E16" s="184">
        <f t="shared" si="0"/>
        <v>83933</v>
      </c>
      <c r="F16" s="298">
        <v>6296</v>
      </c>
      <c r="G16" s="329">
        <v>6147</v>
      </c>
      <c r="H16" s="184">
        <f t="shared" si="1"/>
        <v>12443</v>
      </c>
    </row>
    <row r="17" spans="2:8" ht="12.75" customHeight="1">
      <c r="B17" s="350" t="s">
        <v>273</v>
      </c>
      <c r="C17" s="64">
        <f>SUM(C18:C25)</f>
        <v>140139</v>
      </c>
      <c r="D17" s="275">
        <f>SUM(D18:D25)</f>
        <v>136100</v>
      </c>
      <c r="E17" s="28">
        <f>C17+D17</f>
        <v>276239</v>
      </c>
      <c r="F17" s="275">
        <f>SUM(F18:F25)</f>
        <v>114228</v>
      </c>
      <c r="G17" s="275">
        <f>SUM(G18:G25)</f>
        <v>116086</v>
      </c>
      <c r="H17" s="28">
        <f>F17+G17</f>
        <v>230314</v>
      </c>
    </row>
    <row r="18" spans="2:8" ht="12.75" customHeight="1">
      <c r="B18" s="351" t="s">
        <v>605</v>
      </c>
      <c r="C18" s="298">
        <v>32295</v>
      </c>
      <c r="D18" s="329">
        <v>31237</v>
      </c>
      <c r="E18" s="39">
        <f t="shared" ref="E18:E25" si="2">C18+D18</f>
        <v>63532</v>
      </c>
      <c r="F18" s="342">
        <v>7517</v>
      </c>
      <c r="G18" s="342">
        <v>7486</v>
      </c>
      <c r="H18" s="39">
        <f t="shared" ref="H18:H25" si="3">F18+G18</f>
        <v>15003</v>
      </c>
    </row>
    <row r="19" spans="2:8" ht="12.75" customHeight="1">
      <c r="B19" s="351" t="s">
        <v>604</v>
      </c>
      <c r="C19" s="298">
        <v>15820</v>
      </c>
      <c r="D19" s="329">
        <v>15127</v>
      </c>
      <c r="E19" s="39">
        <f t="shared" si="2"/>
        <v>30947</v>
      </c>
      <c r="F19" s="342">
        <v>12862</v>
      </c>
      <c r="G19" s="342">
        <v>12903</v>
      </c>
      <c r="H19" s="39">
        <f t="shared" si="3"/>
        <v>25765</v>
      </c>
    </row>
    <row r="20" spans="2:8" ht="12.75" customHeight="1">
      <c r="B20" s="351" t="s">
        <v>368</v>
      </c>
      <c r="C20" s="298">
        <v>11681</v>
      </c>
      <c r="D20" s="329">
        <v>11146</v>
      </c>
      <c r="E20" s="39">
        <f t="shared" si="2"/>
        <v>22827</v>
      </c>
      <c r="F20" s="342">
        <v>11861</v>
      </c>
      <c r="G20" s="342">
        <v>11945</v>
      </c>
      <c r="H20" s="39">
        <f t="shared" si="3"/>
        <v>23806</v>
      </c>
    </row>
    <row r="21" spans="2:8" ht="12.75" customHeight="1">
      <c r="B21" s="351" t="s">
        <v>606</v>
      </c>
      <c r="C21" s="298">
        <v>6971</v>
      </c>
      <c r="D21" s="329">
        <v>6670</v>
      </c>
      <c r="E21" s="39">
        <f t="shared" si="2"/>
        <v>13641</v>
      </c>
      <c r="F21" s="342">
        <v>28033</v>
      </c>
      <c r="G21" s="342">
        <v>28028</v>
      </c>
      <c r="H21" s="39">
        <f t="shared" si="3"/>
        <v>56061</v>
      </c>
    </row>
    <row r="22" spans="2:8" ht="12.75" customHeight="1">
      <c r="B22" s="351" t="s">
        <v>347</v>
      </c>
      <c r="C22" s="298">
        <v>19543</v>
      </c>
      <c r="D22" s="329">
        <v>19360</v>
      </c>
      <c r="E22" s="39">
        <f t="shared" si="2"/>
        <v>38903</v>
      </c>
      <c r="F22" s="342">
        <v>10115</v>
      </c>
      <c r="G22" s="342">
        <v>10482</v>
      </c>
      <c r="H22" s="39">
        <f t="shared" si="3"/>
        <v>20597</v>
      </c>
    </row>
    <row r="23" spans="2:8" ht="12.75" customHeight="1">
      <c r="B23" s="351" t="s">
        <v>369</v>
      </c>
      <c r="C23" s="298">
        <v>18989</v>
      </c>
      <c r="D23" s="329">
        <v>18749</v>
      </c>
      <c r="E23" s="39">
        <f t="shared" si="2"/>
        <v>37738</v>
      </c>
      <c r="F23" s="342">
        <v>10592</v>
      </c>
      <c r="G23" s="342">
        <v>10685</v>
      </c>
      <c r="H23" s="39">
        <f t="shared" si="3"/>
        <v>21277</v>
      </c>
    </row>
    <row r="24" spans="2:8" ht="12.75" customHeight="1">
      <c r="B24" s="351" t="s">
        <v>349</v>
      </c>
      <c r="C24" s="298">
        <v>19072</v>
      </c>
      <c r="D24" s="329">
        <v>18385</v>
      </c>
      <c r="E24" s="39">
        <f t="shared" si="2"/>
        <v>37457</v>
      </c>
      <c r="F24" s="342">
        <v>23324</v>
      </c>
      <c r="G24" s="342">
        <v>24074</v>
      </c>
      <c r="H24" s="39">
        <f t="shared" si="3"/>
        <v>47398</v>
      </c>
    </row>
    <row r="25" spans="2:8" ht="12.75" customHeight="1">
      <c r="B25" s="351" t="s">
        <v>370</v>
      </c>
      <c r="C25" s="298">
        <v>15768</v>
      </c>
      <c r="D25" s="329">
        <v>15426</v>
      </c>
      <c r="E25" s="39">
        <f t="shared" si="2"/>
        <v>31194</v>
      </c>
      <c r="F25" s="342">
        <v>9924</v>
      </c>
      <c r="G25" s="342">
        <v>10483</v>
      </c>
      <c r="H25" s="39">
        <f t="shared" si="3"/>
        <v>20407</v>
      </c>
    </row>
    <row r="26" spans="2:8" ht="12.75" customHeight="1">
      <c r="B26" s="350" t="s">
        <v>372</v>
      </c>
      <c r="C26" s="64">
        <f>SUM(C27:C34)</f>
        <v>219394</v>
      </c>
      <c r="D26" s="275">
        <f>SUM(D27:D34)</f>
        <v>215315</v>
      </c>
      <c r="E26" s="28">
        <f>C26+D26</f>
        <v>434709</v>
      </c>
      <c r="F26" s="275">
        <f>SUM(F27:F34)</f>
        <v>18381</v>
      </c>
      <c r="G26" s="275">
        <f>SUM(G27:G34)</f>
        <v>18139</v>
      </c>
      <c r="H26" s="28">
        <f>F26+G26</f>
        <v>36520</v>
      </c>
    </row>
    <row r="27" spans="2:8" ht="12.75" customHeight="1">
      <c r="B27" s="351" t="s">
        <v>350</v>
      </c>
      <c r="C27" s="298">
        <v>28162</v>
      </c>
      <c r="D27" s="329">
        <v>27778</v>
      </c>
      <c r="E27" s="39">
        <f t="shared" ref="E27:E34" si="4">C27+D27</f>
        <v>55940</v>
      </c>
      <c r="F27" s="342">
        <v>5892</v>
      </c>
      <c r="G27" s="342">
        <v>5920</v>
      </c>
      <c r="H27" s="39">
        <f t="shared" ref="H27:H34" si="5">F27+G27</f>
        <v>11812</v>
      </c>
    </row>
    <row r="28" spans="2:8" ht="12.75" customHeight="1">
      <c r="B28" s="351" t="s">
        <v>356</v>
      </c>
      <c r="C28" s="298">
        <v>7241</v>
      </c>
      <c r="D28" s="329">
        <v>7579</v>
      </c>
      <c r="E28" s="39">
        <f t="shared" si="4"/>
        <v>14820</v>
      </c>
      <c r="F28" s="342">
        <v>288</v>
      </c>
      <c r="G28" s="342">
        <v>310</v>
      </c>
      <c r="H28" s="39">
        <f t="shared" si="5"/>
        <v>598</v>
      </c>
    </row>
    <row r="29" spans="2:8" ht="12.75" customHeight="1">
      <c r="B29" s="351" t="s">
        <v>351</v>
      </c>
      <c r="C29" s="298">
        <v>30741</v>
      </c>
      <c r="D29" s="329">
        <v>30264</v>
      </c>
      <c r="E29" s="39">
        <f t="shared" si="4"/>
        <v>61005</v>
      </c>
      <c r="F29" s="342">
        <v>1605</v>
      </c>
      <c r="G29" s="342">
        <v>1605</v>
      </c>
      <c r="H29" s="39">
        <f t="shared" si="5"/>
        <v>3210</v>
      </c>
    </row>
    <row r="30" spans="2:8" ht="12.75" customHeight="1">
      <c r="B30" s="351" t="s">
        <v>352</v>
      </c>
      <c r="C30" s="298">
        <v>33784</v>
      </c>
      <c r="D30" s="329">
        <v>32996</v>
      </c>
      <c r="E30" s="39">
        <f t="shared" si="4"/>
        <v>66780</v>
      </c>
      <c r="F30" s="342">
        <v>3146</v>
      </c>
      <c r="G30" s="342">
        <v>3065</v>
      </c>
      <c r="H30" s="39">
        <f t="shared" si="5"/>
        <v>6211</v>
      </c>
    </row>
    <row r="31" spans="2:8" ht="12.75" customHeight="1">
      <c r="B31" s="351" t="s">
        <v>353</v>
      </c>
      <c r="C31" s="298">
        <v>35481</v>
      </c>
      <c r="D31" s="329">
        <v>34165</v>
      </c>
      <c r="E31" s="39">
        <f t="shared" si="4"/>
        <v>69646</v>
      </c>
      <c r="F31" s="342">
        <v>2806</v>
      </c>
      <c r="G31" s="342">
        <v>2754</v>
      </c>
      <c r="H31" s="39">
        <f t="shared" si="5"/>
        <v>5560</v>
      </c>
    </row>
    <row r="32" spans="2:8" ht="12.75" customHeight="1">
      <c r="B32" s="351" t="s">
        <v>362</v>
      </c>
      <c r="C32" s="298">
        <v>3426</v>
      </c>
      <c r="D32" s="329">
        <v>3310</v>
      </c>
      <c r="E32" s="39">
        <f t="shared" si="4"/>
        <v>6736</v>
      </c>
      <c r="F32" s="342">
        <v>310</v>
      </c>
      <c r="G32" s="342">
        <v>143</v>
      </c>
      <c r="H32" s="39">
        <f t="shared" si="5"/>
        <v>453</v>
      </c>
    </row>
    <row r="33" spans="2:9" ht="12.75" customHeight="1">
      <c r="B33" s="351" t="s">
        <v>354</v>
      </c>
      <c r="C33" s="298">
        <v>43042</v>
      </c>
      <c r="D33" s="329">
        <v>42459</v>
      </c>
      <c r="E33" s="39">
        <f t="shared" si="4"/>
        <v>85501</v>
      </c>
      <c r="F33" s="342">
        <v>2746</v>
      </c>
      <c r="G33" s="342">
        <v>2787</v>
      </c>
      <c r="H33" s="39">
        <f t="shared" si="5"/>
        <v>5533</v>
      </c>
    </row>
    <row r="34" spans="2:9" ht="12.75" customHeight="1">
      <c r="B34" s="352" t="s">
        <v>355</v>
      </c>
      <c r="C34" s="298">
        <v>37517</v>
      </c>
      <c r="D34" s="329">
        <v>36764</v>
      </c>
      <c r="E34" s="42">
        <f t="shared" si="4"/>
        <v>74281</v>
      </c>
      <c r="F34" s="342">
        <v>1588</v>
      </c>
      <c r="G34" s="342">
        <v>1555</v>
      </c>
      <c r="H34" s="39">
        <f t="shared" si="5"/>
        <v>3143</v>
      </c>
    </row>
    <row r="35" spans="2:9" ht="11.25" customHeight="1">
      <c r="B35" s="45" t="s">
        <v>1526</v>
      </c>
      <c r="C35" s="117"/>
      <c r="D35" s="220"/>
      <c r="E35" s="39"/>
      <c r="F35" s="117"/>
      <c r="G35" s="220"/>
      <c r="H35" s="210"/>
    </row>
    <row r="36" spans="2:9" ht="12.75" customHeight="1">
      <c r="B36" s="34" t="s">
        <v>380</v>
      </c>
      <c r="C36" s="11">
        <f t="shared" ref="C36:H36" si="6">SUM(C26,C17,C7)</f>
        <v>593440</v>
      </c>
      <c r="D36" s="11">
        <f t="shared" si="6"/>
        <v>581007</v>
      </c>
      <c r="E36" s="28">
        <f t="shared" si="6"/>
        <v>1174447</v>
      </c>
      <c r="F36" s="11">
        <f t="shared" si="6"/>
        <v>183467</v>
      </c>
      <c r="G36" s="11">
        <f t="shared" si="6"/>
        <v>185223</v>
      </c>
      <c r="H36" s="28">
        <f t="shared" si="6"/>
        <v>368690</v>
      </c>
    </row>
    <row r="37" spans="2:9" ht="12.75" customHeight="1">
      <c r="B37" s="34" t="s">
        <v>591</v>
      </c>
      <c r="C37" s="275">
        <v>559234</v>
      </c>
      <c r="D37" s="275">
        <v>546419</v>
      </c>
      <c r="E37" s="28">
        <f>C37+D37</f>
        <v>1105653</v>
      </c>
      <c r="F37" s="275">
        <v>181734</v>
      </c>
      <c r="G37" s="275">
        <v>183646</v>
      </c>
      <c r="H37" s="28">
        <f>F37+G37</f>
        <v>365380</v>
      </c>
    </row>
    <row r="38" spans="2:9" ht="12.75" customHeight="1">
      <c r="B38" s="35" t="s">
        <v>381</v>
      </c>
      <c r="C38" s="97">
        <v>34206</v>
      </c>
      <c r="D38" s="106">
        <v>34588</v>
      </c>
      <c r="E38" s="98">
        <f>E36-E37</f>
        <v>68794</v>
      </c>
      <c r="F38" s="106">
        <v>1733</v>
      </c>
      <c r="G38" s="106">
        <v>1577</v>
      </c>
      <c r="H38" s="98">
        <f>H36-H37</f>
        <v>3310</v>
      </c>
    </row>
    <row r="39" spans="2:9" ht="14.25" customHeight="1">
      <c r="B39" s="266"/>
      <c r="C39" s="266"/>
      <c r="D39" s="266"/>
      <c r="E39" s="266"/>
      <c r="F39" s="1254" t="s">
        <v>0</v>
      </c>
      <c r="G39" s="1254"/>
      <c r="H39" s="1254"/>
    </row>
    <row r="40" spans="2:9" ht="14.25" customHeight="1">
      <c r="B40" s="266"/>
      <c r="C40" s="266"/>
      <c r="D40" s="266"/>
      <c r="E40" s="266"/>
      <c r="F40" s="713"/>
      <c r="G40" s="713"/>
      <c r="H40" s="713"/>
    </row>
    <row r="41" spans="2:9" ht="8.25" customHeight="1">
      <c r="B41" s="266"/>
      <c r="C41" s="266"/>
      <c r="D41" s="266"/>
      <c r="E41" s="266"/>
      <c r="F41" s="113"/>
      <c r="G41" s="113"/>
      <c r="H41" s="113"/>
    </row>
    <row r="42" spans="2:9" ht="11.25" customHeight="1">
      <c r="B42" s="1181" t="s">
        <v>1596</v>
      </c>
      <c r="C42" s="1181"/>
      <c r="D42" s="1181"/>
      <c r="E42" s="1181"/>
      <c r="F42" s="1181"/>
      <c r="G42" s="1181"/>
      <c r="H42" s="1181"/>
    </row>
    <row r="43" spans="2:9" ht="15.75" customHeight="1">
      <c r="B43" s="1226" t="str">
        <f>CONCATENATE("Population by religion in the district of ",District!$A$1,",", " 1991 and 2001")</f>
        <v>Population by religion in the district of Bankura, 1991 and 2001</v>
      </c>
      <c r="C43" s="1226"/>
      <c r="D43" s="1226"/>
      <c r="E43" s="1226"/>
      <c r="F43" s="1226"/>
      <c r="G43" s="1226"/>
      <c r="H43" s="1226"/>
      <c r="I43" s="8"/>
    </row>
    <row r="44" spans="2:9" ht="12" customHeight="1">
      <c r="B44" s="266"/>
      <c r="C44" s="349"/>
      <c r="D44" s="349"/>
      <c r="E44" s="349"/>
      <c r="F44" s="349"/>
      <c r="G44" s="349"/>
      <c r="H44" s="114" t="s">
        <v>1103</v>
      </c>
    </row>
    <row r="45" spans="2:9" ht="15.75" customHeight="1">
      <c r="B45" s="1194" t="s">
        <v>848</v>
      </c>
      <c r="C45" s="1193">
        <v>1991</v>
      </c>
      <c r="D45" s="1191"/>
      <c r="E45" s="1192"/>
      <c r="F45" s="1193">
        <v>2001</v>
      </c>
      <c r="G45" s="1191"/>
      <c r="H45" s="1192"/>
    </row>
    <row r="46" spans="2:9" ht="39" customHeight="1">
      <c r="B46" s="1195"/>
      <c r="C46" s="1261" t="s">
        <v>847</v>
      </c>
      <c r="D46" s="1263"/>
      <c r="E46" s="337" t="s">
        <v>793</v>
      </c>
      <c r="F46" s="1261" t="s">
        <v>847</v>
      </c>
      <c r="G46" s="1263"/>
      <c r="H46" s="250" t="s">
        <v>793</v>
      </c>
    </row>
    <row r="47" spans="2:9" ht="14.25" customHeight="1">
      <c r="B47" s="213" t="s">
        <v>418</v>
      </c>
      <c r="C47" s="1201" t="s">
        <v>419</v>
      </c>
      <c r="D47" s="1257"/>
      <c r="E47" s="221" t="s">
        <v>420</v>
      </c>
      <c r="F47" s="1201" t="s">
        <v>421</v>
      </c>
      <c r="G47" s="1257"/>
      <c r="H47" s="213" t="s">
        <v>422</v>
      </c>
    </row>
    <row r="48" spans="2:9" ht="15" customHeight="1">
      <c r="B48" s="33" t="s">
        <v>69</v>
      </c>
      <c r="C48" s="1270">
        <v>2444545</v>
      </c>
      <c r="D48" s="1271"/>
      <c r="E48" s="355">
        <f t="shared" ref="E48:E54" si="7">ROUND(C48/$C$56*100,2)</f>
        <v>87.15</v>
      </c>
      <c r="F48" s="1270">
        <v>2693022</v>
      </c>
      <c r="G48" s="1271"/>
      <c r="H48" s="356">
        <f t="shared" ref="H48:H53" si="8">ROUND(F48/$F$56*100,2)</f>
        <v>84.35</v>
      </c>
    </row>
    <row r="49" spans="2:11" ht="15" customHeight="1">
      <c r="B49" s="33" t="s">
        <v>70</v>
      </c>
      <c r="C49" s="1270">
        <v>186021</v>
      </c>
      <c r="D49" s="1271"/>
      <c r="E49" s="355">
        <f t="shared" si="7"/>
        <v>6.63</v>
      </c>
      <c r="F49" s="1270">
        <v>239722</v>
      </c>
      <c r="G49" s="1271"/>
      <c r="H49" s="356">
        <f t="shared" si="8"/>
        <v>7.51</v>
      </c>
    </row>
    <row r="50" spans="2:11" ht="15" customHeight="1">
      <c r="B50" s="33" t="s">
        <v>71</v>
      </c>
      <c r="C50" s="1270">
        <v>2824</v>
      </c>
      <c r="D50" s="1271"/>
      <c r="E50" s="355">
        <f t="shared" si="7"/>
        <v>0.1</v>
      </c>
      <c r="F50" s="1270">
        <v>3018</v>
      </c>
      <c r="G50" s="1271"/>
      <c r="H50" s="356">
        <f t="shared" si="8"/>
        <v>0.09</v>
      </c>
    </row>
    <row r="51" spans="2:11" ht="15" customHeight="1">
      <c r="B51" s="33" t="s">
        <v>72</v>
      </c>
      <c r="C51" s="1270">
        <v>64</v>
      </c>
      <c r="D51" s="1271"/>
      <c r="E51" s="355">
        <f t="shared" si="7"/>
        <v>0</v>
      </c>
      <c r="F51" s="1270">
        <v>114</v>
      </c>
      <c r="G51" s="1271"/>
      <c r="H51" s="356">
        <f t="shared" si="8"/>
        <v>0</v>
      </c>
    </row>
    <row r="52" spans="2:11" ht="15" customHeight="1">
      <c r="B52" s="33" t="s">
        <v>73</v>
      </c>
      <c r="C52" s="1270">
        <v>43</v>
      </c>
      <c r="D52" s="1271"/>
      <c r="E52" s="355">
        <f t="shared" si="7"/>
        <v>0</v>
      </c>
      <c r="F52" s="1270">
        <v>138</v>
      </c>
      <c r="G52" s="1271"/>
      <c r="H52" s="356">
        <f t="shared" si="8"/>
        <v>0</v>
      </c>
    </row>
    <row r="53" spans="2:11" ht="15" customHeight="1">
      <c r="B53" s="33" t="s">
        <v>74</v>
      </c>
      <c r="C53" s="1270">
        <v>1953</v>
      </c>
      <c r="D53" s="1271"/>
      <c r="E53" s="355">
        <f t="shared" si="7"/>
        <v>7.0000000000000007E-2</v>
      </c>
      <c r="F53" s="1270">
        <v>3487</v>
      </c>
      <c r="G53" s="1271"/>
      <c r="H53" s="356">
        <f t="shared" si="8"/>
        <v>0.11</v>
      </c>
    </row>
    <row r="54" spans="2:11" ht="15" customHeight="1">
      <c r="B54" s="33" t="s">
        <v>592</v>
      </c>
      <c r="C54" s="1270">
        <v>169615</v>
      </c>
      <c r="D54" s="1271"/>
      <c r="E54" s="355">
        <f t="shared" si="7"/>
        <v>6.05</v>
      </c>
      <c r="F54" s="1270">
        <v>251401</v>
      </c>
      <c r="G54" s="1271"/>
      <c r="H54" s="356">
        <f>ROUND(F54/$F$56*100,2)+0.01</f>
        <v>7.88</v>
      </c>
    </row>
    <row r="55" spans="2:11" ht="15" customHeight="1">
      <c r="B55" s="250" t="s">
        <v>593</v>
      </c>
      <c r="C55" s="1272" t="s">
        <v>311</v>
      </c>
      <c r="D55" s="1273"/>
      <c r="E55" s="63" t="s">
        <v>311</v>
      </c>
      <c r="F55" s="1270">
        <v>1793</v>
      </c>
      <c r="G55" s="1271"/>
      <c r="H55" s="356">
        <f>ROUND(F55/$F$56*100,2)</f>
        <v>0.06</v>
      </c>
    </row>
    <row r="56" spans="2:11" ht="15" customHeight="1">
      <c r="B56" s="179" t="s">
        <v>849</v>
      </c>
      <c r="C56" s="1274">
        <f>SUM(C48:C55)</f>
        <v>2805065</v>
      </c>
      <c r="D56" s="1275"/>
      <c r="E56" s="357">
        <f>SUM(E48:E55)</f>
        <v>99.999999999999986</v>
      </c>
      <c r="F56" s="1274">
        <f>SUM(F48:F55)</f>
        <v>3192695</v>
      </c>
      <c r="G56" s="1275"/>
      <c r="H56" s="359">
        <f>SUM(H48:H55)</f>
        <v>100</v>
      </c>
    </row>
    <row r="57" spans="2:11">
      <c r="B57" s="723" t="s">
        <v>887</v>
      </c>
      <c r="D57" s="266"/>
      <c r="E57" s="266"/>
      <c r="F57" s="266"/>
      <c r="H57" s="713" t="s">
        <v>529</v>
      </c>
      <c r="I57" s="219"/>
      <c r="J57" s="219"/>
      <c r="K57" s="219"/>
    </row>
    <row r="59" spans="2:11">
      <c r="H59" s="170"/>
    </row>
  </sheetData>
  <mergeCells count="33">
    <mergeCell ref="C47:D47"/>
    <mergeCell ref="C54:D54"/>
    <mergeCell ref="C48:D48"/>
    <mergeCell ref="C49:D49"/>
    <mergeCell ref="C50:D50"/>
    <mergeCell ref="C55:D55"/>
    <mergeCell ref="C56:D56"/>
    <mergeCell ref="F53:G53"/>
    <mergeCell ref="C53:D53"/>
    <mergeCell ref="C51:D51"/>
    <mergeCell ref="C52:D52"/>
    <mergeCell ref="F56:G56"/>
    <mergeCell ref="F54:G54"/>
    <mergeCell ref="F55:G55"/>
    <mergeCell ref="F52:G52"/>
    <mergeCell ref="F47:G47"/>
    <mergeCell ref="F48:G48"/>
    <mergeCell ref="F49:G49"/>
    <mergeCell ref="F50:G50"/>
    <mergeCell ref="F51:G51"/>
    <mergeCell ref="B1:H1"/>
    <mergeCell ref="B45:B46"/>
    <mergeCell ref="B2:H2"/>
    <mergeCell ref="B4:B5"/>
    <mergeCell ref="C4:E4"/>
    <mergeCell ref="C46:D46"/>
    <mergeCell ref="F4:H4"/>
    <mergeCell ref="F39:H39"/>
    <mergeCell ref="B43:H43"/>
    <mergeCell ref="B42:H42"/>
    <mergeCell ref="F45:H45"/>
    <mergeCell ref="C45:E45"/>
    <mergeCell ref="F46:G46"/>
  </mergeCells>
  <phoneticPr fontId="0" type="noConversion"/>
  <printOptions horizontalCentered="1"/>
  <pageMargins left="0.1" right="0.1" top="0.56000000000000005" bottom="0.1" header="0.35" footer="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2"/>
  <dimension ref="A4:K38"/>
  <sheetViews>
    <sheetView showGridLines="0" workbookViewId="0">
      <selection activeCell="I33" sqref="I33"/>
    </sheetView>
  </sheetViews>
  <sheetFormatPr defaultRowHeight="12.75"/>
  <sheetData>
    <row r="4" spans="1:11" ht="35.25">
      <c r="A4" s="1166" t="s">
        <v>345</v>
      </c>
      <c r="B4" s="1166"/>
      <c r="C4" s="1166"/>
      <c r="D4" s="1166"/>
      <c r="E4" s="1166"/>
      <c r="F4" s="1166"/>
      <c r="G4" s="1166"/>
      <c r="H4" s="1166"/>
      <c r="I4" s="1166"/>
    </row>
    <row r="8" spans="1:11" ht="35.25">
      <c r="A8" s="1167">
        <f>District!B6</f>
        <v>2014</v>
      </c>
      <c r="B8" s="1167"/>
      <c r="C8" s="1167"/>
      <c r="D8" s="1167"/>
      <c r="E8" s="1167"/>
      <c r="F8" s="1167"/>
      <c r="G8" s="1167"/>
      <c r="H8" s="1167"/>
      <c r="I8" s="1167"/>
    </row>
    <row r="10" spans="1:11" ht="23.25">
      <c r="I10" s="36"/>
      <c r="J10" s="36"/>
      <c r="K10" s="36"/>
    </row>
    <row r="11" spans="1:11" ht="45">
      <c r="A11" s="1168" t="str">
        <f>District!A1</f>
        <v>Bankura</v>
      </c>
      <c r="B11" s="1168"/>
      <c r="C11" s="1168"/>
      <c r="D11" s="1168"/>
      <c r="E11" s="1168"/>
      <c r="F11" s="1168"/>
      <c r="G11" s="1168"/>
      <c r="H11" s="1168"/>
      <c r="I11" s="1168"/>
      <c r="J11" s="37"/>
      <c r="K11" s="37"/>
    </row>
    <row r="15" spans="1:11" ht="10.5" customHeight="1"/>
    <row r="36" spans="1:9" ht="20.25">
      <c r="A36" s="1163" t="s">
        <v>661</v>
      </c>
      <c r="B36" s="1163"/>
      <c r="C36" s="1163"/>
      <c r="D36" s="1163"/>
      <c r="E36" s="1163"/>
      <c r="F36" s="1163"/>
      <c r="G36" s="1163"/>
      <c r="H36" s="1163"/>
      <c r="I36" s="1163"/>
    </row>
    <row r="37" spans="1:9" ht="20.25" customHeight="1">
      <c r="A37" s="1165" t="s">
        <v>1219</v>
      </c>
      <c r="B37" s="1165"/>
      <c r="C37" s="1165"/>
      <c r="D37" s="1165"/>
      <c r="E37" s="1165"/>
      <c r="F37" s="1165"/>
      <c r="G37" s="1165"/>
      <c r="H37" s="1165"/>
      <c r="I37" s="1165"/>
    </row>
    <row r="38" spans="1:9" ht="23.25">
      <c r="A38" s="1164" t="s">
        <v>662</v>
      </c>
      <c r="B38" s="1164"/>
      <c r="C38" s="1164"/>
      <c r="D38" s="1164"/>
      <c r="E38" s="1164"/>
      <c r="F38" s="1164"/>
      <c r="G38" s="1164"/>
      <c r="H38" s="1164"/>
      <c r="I38" s="1164"/>
    </row>
  </sheetData>
  <mergeCells count="6">
    <mergeCell ref="A38:I38"/>
    <mergeCell ref="A37:I37"/>
    <mergeCell ref="A4:I4"/>
    <mergeCell ref="A8:I8"/>
    <mergeCell ref="A11:I11"/>
    <mergeCell ref="A36:I36"/>
  </mergeCells>
  <phoneticPr fontId="0" type="noConversion"/>
  <printOptions horizontalCentered="1"/>
  <pageMargins left="0.1" right="0.1" top="1" bottom="1" header="0.5" footer="0.5"/>
  <pageSetup paperSize="9" orientation="portrait" blackAndWhite="1" horizontalDpi="4294967295" r:id="rId1"/>
  <headerFooter alignWithMargins="0"/>
</worksheet>
</file>

<file path=xl/worksheets/sheet20.xml><?xml version="1.0" encoding="utf-8"?>
<worksheet xmlns="http://schemas.openxmlformats.org/spreadsheetml/2006/main" xmlns:r="http://schemas.openxmlformats.org/officeDocument/2006/relationships">
  <sheetPr codeName="Sheet19"/>
  <dimension ref="A1:AC36"/>
  <sheetViews>
    <sheetView workbookViewId="0">
      <selection activeCell="M30" sqref="M30"/>
    </sheetView>
  </sheetViews>
  <sheetFormatPr defaultRowHeight="12.75"/>
  <cols>
    <col min="1" max="1" width="22" style="266" customWidth="1"/>
    <col min="2" max="13" width="9.5703125" style="266" customWidth="1"/>
    <col min="14" max="14" width="19.5703125" style="266" customWidth="1"/>
    <col min="15" max="20" width="8.42578125" style="266" customWidth="1"/>
    <col min="21" max="23" width="8.5703125" style="266" customWidth="1"/>
    <col min="24" max="26" width="8.28515625" style="266" customWidth="1"/>
    <col min="27" max="29" width="8.7109375" style="266" customWidth="1"/>
    <col min="30" max="16384" width="9.140625" style="266"/>
  </cols>
  <sheetData>
    <row r="1" spans="1:29" ht="15" customHeight="1">
      <c r="A1" s="1181" t="s">
        <v>68</v>
      </c>
      <c r="B1" s="1181"/>
      <c r="C1" s="1181"/>
      <c r="D1" s="1181"/>
      <c r="E1" s="1181"/>
      <c r="F1" s="1181"/>
      <c r="G1" s="1181"/>
      <c r="H1" s="1181"/>
      <c r="I1" s="1181"/>
      <c r="J1" s="1181"/>
      <c r="K1" s="1181"/>
      <c r="L1" s="1181"/>
      <c r="M1" s="1181"/>
    </row>
    <row r="2" spans="1:29" s="259" customFormat="1" ht="15.75" customHeight="1">
      <c r="A2" s="1231" t="s">
        <v>1254</v>
      </c>
      <c r="B2" s="1231"/>
      <c r="C2" s="1231"/>
      <c r="D2" s="1231"/>
      <c r="E2" s="1231"/>
      <c r="F2" s="1231"/>
      <c r="G2" s="1231"/>
      <c r="H2" s="1231"/>
      <c r="I2" s="1231"/>
      <c r="J2" s="1231"/>
      <c r="K2" s="1231"/>
      <c r="L2" s="1231"/>
      <c r="M2" s="1231"/>
      <c r="N2" s="1181" t="s">
        <v>483</v>
      </c>
      <c r="O2" s="1181"/>
      <c r="P2" s="1181"/>
      <c r="Q2" s="1181"/>
      <c r="R2" s="1181"/>
      <c r="S2" s="1181"/>
      <c r="T2" s="1181"/>
      <c r="U2" s="1181"/>
      <c r="V2" s="1181"/>
      <c r="W2" s="1181"/>
      <c r="X2" s="1181"/>
      <c r="Y2" s="1181"/>
      <c r="Z2" s="1181"/>
      <c r="AA2" s="1181"/>
      <c r="AB2" s="1181"/>
      <c r="AC2" s="1181"/>
    </row>
    <row r="3" spans="1:29" s="259" customFormat="1" ht="14.25" customHeight="1">
      <c r="A3" s="308"/>
      <c r="B3" s="613"/>
      <c r="C3" s="613"/>
      <c r="D3" s="613"/>
      <c r="E3" s="613"/>
      <c r="F3" s="613"/>
      <c r="G3" s="613"/>
      <c r="H3" s="613"/>
      <c r="I3" s="613"/>
      <c r="J3" s="613"/>
      <c r="K3" s="613"/>
      <c r="L3" s="613"/>
      <c r="M3" s="114" t="s">
        <v>452</v>
      </c>
      <c r="N3" s="262"/>
      <c r="O3" s="308"/>
      <c r="P3" s="308"/>
      <c r="Q3" s="308"/>
      <c r="AC3" s="618" t="s">
        <v>452</v>
      </c>
    </row>
    <row r="4" spans="1:29" s="112" customFormat="1" ht="14.25" customHeight="1">
      <c r="A4" s="1258" t="s">
        <v>1537</v>
      </c>
      <c r="B4" s="1276" t="s">
        <v>69</v>
      </c>
      <c r="C4" s="1277"/>
      <c r="D4" s="1278"/>
      <c r="E4" s="1276" t="s">
        <v>70</v>
      </c>
      <c r="F4" s="1277"/>
      <c r="G4" s="1278"/>
      <c r="H4" s="1276" t="s">
        <v>71</v>
      </c>
      <c r="I4" s="1277"/>
      <c r="J4" s="1278"/>
      <c r="K4" s="1276" t="s">
        <v>72</v>
      </c>
      <c r="L4" s="1277"/>
      <c r="M4" s="1278"/>
      <c r="N4" s="1194" t="s">
        <v>1537</v>
      </c>
      <c r="O4" s="1277" t="s">
        <v>73</v>
      </c>
      <c r="P4" s="1277"/>
      <c r="Q4" s="1278"/>
      <c r="R4" s="1276" t="s">
        <v>74</v>
      </c>
      <c r="S4" s="1277"/>
      <c r="T4" s="1278"/>
      <c r="U4" s="1276" t="s">
        <v>592</v>
      </c>
      <c r="V4" s="1277"/>
      <c r="W4" s="1278"/>
      <c r="X4" s="1276" t="s">
        <v>593</v>
      </c>
      <c r="Y4" s="1277"/>
      <c r="Z4" s="1278"/>
      <c r="AA4" s="1277" t="s">
        <v>849</v>
      </c>
      <c r="AB4" s="1277"/>
      <c r="AC4" s="1278"/>
    </row>
    <row r="5" spans="1:29" s="112" customFormat="1" ht="14.25" customHeight="1">
      <c r="A5" s="1261"/>
      <c r="B5" s="806" t="s">
        <v>531</v>
      </c>
      <c r="C5" s="804" t="s">
        <v>532</v>
      </c>
      <c r="D5" s="805" t="s">
        <v>439</v>
      </c>
      <c r="E5" s="806" t="s">
        <v>531</v>
      </c>
      <c r="F5" s="804" t="s">
        <v>532</v>
      </c>
      <c r="G5" s="805" t="s">
        <v>439</v>
      </c>
      <c r="H5" s="806" t="s">
        <v>531</v>
      </c>
      <c r="I5" s="804" t="s">
        <v>532</v>
      </c>
      <c r="J5" s="805" t="s">
        <v>439</v>
      </c>
      <c r="K5" s="806" t="s">
        <v>531</v>
      </c>
      <c r="L5" s="804" t="s">
        <v>532</v>
      </c>
      <c r="M5" s="805" t="s">
        <v>439</v>
      </c>
      <c r="N5" s="1217"/>
      <c r="O5" s="804" t="s">
        <v>531</v>
      </c>
      <c r="P5" s="804" t="s">
        <v>532</v>
      </c>
      <c r="Q5" s="805" t="s">
        <v>439</v>
      </c>
      <c r="R5" s="806" t="s">
        <v>531</v>
      </c>
      <c r="S5" s="804" t="s">
        <v>532</v>
      </c>
      <c r="T5" s="805" t="s">
        <v>439</v>
      </c>
      <c r="U5" s="806" t="s">
        <v>531</v>
      </c>
      <c r="V5" s="804" t="s">
        <v>532</v>
      </c>
      <c r="W5" s="805" t="s">
        <v>439</v>
      </c>
      <c r="X5" s="806" t="s">
        <v>531</v>
      </c>
      <c r="Y5" s="804" t="s">
        <v>532</v>
      </c>
      <c r="Z5" s="805" t="s">
        <v>439</v>
      </c>
      <c r="AA5" s="804" t="s">
        <v>531</v>
      </c>
      <c r="AB5" s="804" t="s">
        <v>532</v>
      </c>
      <c r="AC5" s="805" t="s">
        <v>439</v>
      </c>
    </row>
    <row r="6" spans="1:29" s="112" customFormat="1" ht="14.25" customHeight="1">
      <c r="A6" s="809" t="s">
        <v>418</v>
      </c>
      <c r="B6" s="809" t="s">
        <v>419</v>
      </c>
      <c r="C6" s="807" t="s">
        <v>420</v>
      </c>
      <c r="D6" s="808" t="s">
        <v>421</v>
      </c>
      <c r="E6" s="809" t="s">
        <v>422</v>
      </c>
      <c r="F6" s="807" t="s">
        <v>423</v>
      </c>
      <c r="G6" s="808" t="s">
        <v>424</v>
      </c>
      <c r="H6" s="809" t="s">
        <v>440</v>
      </c>
      <c r="I6" s="807" t="s">
        <v>441</v>
      </c>
      <c r="J6" s="808" t="s">
        <v>442</v>
      </c>
      <c r="K6" s="809" t="s">
        <v>443</v>
      </c>
      <c r="L6" s="807" t="s">
        <v>537</v>
      </c>
      <c r="M6" s="808" t="s">
        <v>538</v>
      </c>
      <c r="N6" s="810" t="s">
        <v>418</v>
      </c>
      <c r="O6" s="807" t="s">
        <v>539</v>
      </c>
      <c r="P6" s="807" t="s">
        <v>540</v>
      </c>
      <c r="Q6" s="808" t="s">
        <v>542</v>
      </c>
      <c r="R6" s="809" t="s">
        <v>543</v>
      </c>
      <c r="S6" s="807" t="s">
        <v>545</v>
      </c>
      <c r="T6" s="808" t="s">
        <v>544</v>
      </c>
      <c r="U6" s="809" t="s">
        <v>918</v>
      </c>
      <c r="V6" s="807" t="s">
        <v>919</v>
      </c>
      <c r="W6" s="808" t="s">
        <v>920</v>
      </c>
      <c r="X6" s="809" t="s">
        <v>1391</v>
      </c>
      <c r="Y6" s="807" t="s">
        <v>1392</v>
      </c>
      <c r="Z6" s="808" t="s">
        <v>1465</v>
      </c>
      <c r="AA6" s="807" t="s">
        <v>1466</v>
      </c>
      <c r="AB6" s="807" t="s">
        <v>1467</v>
      </c>
      <c r="AC6" s="808" t="s">
        <v>1468</v>
      </c>
    </row>
    <row r="7" spans="1:29" ht="15" customHeight="1">
      <c r="A7" s="350" t="s">
        <v>364</v>
      </c>
      <c r="B7" s="64">
        <f t="shared" ref="B7:M7" si="0">SUM(B8:B16)</f>
        <v>586640</v>
      </c>
      <c r="C7" s="275">
        <f t="shared" si="0"/>
        <v>557140</v>
      </c>
      <c r="D7" s="44">
        <f t="shared" si="0"/>
        <v>1143780</v>
      </c>
      <c r="E7" s="64">
        <f t="shared" si="0"/>
        <v>35637</v>
      </c>
      <c r="F7" s="275">
        <f t="shared" si="0"/>
        <v>32705</v>
      </c>
      <c r="G7" s="44">
        <f t="shared" si="0"/>
        <v>68342</v>
      </c>
      <c r="H7" s="64">
        <f t="shared" si="0"/>
        <v>608</v>
      </c>
      <c r="I7" s="275">
        <f t="shared" si="0"/>
        <v>602</v>
      </c>
      <c r="J7" s="44">
        <f t="shared" si="0"/>
        <v>1210</v>
      </c>
      <c r="K7" s="64">
        <f t="shared" si="0"/>
        <v>47</v>
      </c>
      <c r="L7" s="275">
        <f t="shared" si="0"/>
        <v>26</v>
      </c>
      <c r="M7" s="44">
        <f t="shared" si="0"/>
        <v>73</v>
      </c>
      <c r="N7" s="303" t="s">
        <v>364</v>
      </c>
      <c r="O7" s="275">
        <f t="shared" ref="O7:AC7" si="1">SUM(O8:O16)</f>
        <v>28</v>
      </c>
      <c r="P7" s="275">
        <f t="shared" si="1"/>
        <v>40</v>
      </c>
      <c r="Q7" s="44">
        <f t="shared" si="1"/>
        <v>68</v>
      </c>
      <c r="R7" s="64">
        <f t="shared" si="1"/>
        <v>1739</v>
      </c>
      <c r="S7" s="275">
        <f t="shared" si="1"/>
        <v>1677</v>
      </c>
      <c r="T7" s="44">
        <f t="shared" si="1"/>
        <v>3416</v>
      </c>
      <c r="U7" s="64">
        <f t="shared" si="1"/>
        <v>29628</v>
      </c>
      <c r="V7" s="275">
        <f t="shared" si="1"/>
        <v>29408</v>
      </c>
      <c r="W7" s="44">
        <f t="shared" si="1"/>
        <v>59036</v>
      </c>
      <c r="X7" s="64">
        <f t="shared" si="1"/>
        <v>308</v>
      </c>
      <c r="Y7" s="275">
        <f t="shared" si="1"/>
        <v>279</v>
      </c>
      <c r="Z7" s="44">
        <f t="shared" si="1"/>
        <v>587</v>
      </c>
      <c r="AA7" s="275">
        <f t="shared" si="1"/>
        <v>654635</v>
      </c>
      <c r="AB7" s="275">
        <f t="shared" si="1"/>
        <v>621877</v>
      </c>
      <c r="AC7" s="44">
        <f t="shared" si="1"/>
        <v>1276512</v>
      </c>
    </row>
    <row r="8" spans="1:29" ht="15" customHeight="1">
      <c r="A8" s="351" t="s">
        <v>596</v>
      </c>
      <c r="B8" s="246">
        <v>42100</v>
      </c>
      <c r="C8" s="189">
        <v>39785</v>
      </c>
      <c r="D8" s="184">
        <f t="shared" ref="D8:D16" si="2">SUM(B8:C8)</f>
        <v>81885</v>
      </c>
      <c r="E8" s="246">
        <v>6272</v>
      </c>
      <c r="F8" s="189">
        <v>6375</v>
      </c>
      <c r="G8" s="184">
        <f t="shared" ref="G8:G16" si="3">SUM(E8:F8)</f>
        <v>12647</v>
      </c>
      <c r="H8" s="246">
        <v>3</v>
      </c>
      <c r="I8" s="189">
        <v>7</v>
      </c>
      <c r="J8" s="184">
        <f t="shared" ref="J8:J16" si="4">SUM(H8:I8)</f>
        <v>10</v>
      </c>
      <c r="K8" s="246">
        <v>2</v>
      </c>
      <c r="L8" s="373" t="s">
        <v>1127</v>
      </c>
      <c r="M8" s="184">
        <f t="shared" ref="M8:M15" si="5">SUM(K8:L8)</f>
        <v>2</v>
      </c>
      <c r="N8" s="304" t="s">
        <v>596</v>
      </c>
      <c r="O8" s="189">
        <v>1</v>
      </c>
      <c r="P8" s="373" t="s">
        <v>1127</v>
      </c>
      <c r="Q8" s="184">
        <f t="shared" ref="Q8:Q16" si="6">SUM(O8:P8)</f>
        <v>1</v>
      </c>
      <c r="R8" s="444" t="s">
        <v>1127</v>
      </c>
      <c r="S8" s="373" t="s">
        <v>1127</v>
      </c>
      <c r="T8" s="417" t="s">
        <v>1127</v>
      </c>
      <c r="U8" s="246">
        <v>666</v>
      </c>
      <c r="V8" s="189">
        <v>553</v>
      </c>
      <c r="W8" s="184">
        <f t="shared" ref="W8:W16" si="7">SUM(U8:V8)</f>
        <v>1219</v>
      </c>
      <c r="X8" s="246">
        <v>39</v>
      </c>
      <c r="Y8" s="189">
        <v>37</v>
      </c>
      <c r="Z8" s="184">
        <f t="shared" ref="Z8:Z16" si="8">SUM(X8:Y8)</f>
        <v>76</v>
      </c>
      <c r="AA8" s="24">
        <f t="shared" ref="AA8:AA16" si="9">SUM(B8,E8,H8,K8,O8,R8,U8,X8)</f>
        <v>49083</v>
      </c>
      <c r="AB8" s="24">
        <f t="shared" ref="AB8:AB16" si="10">SUM(C8,F8,I8,L8,P8,S8,V8,Y8)</f>
        <v>46757</v>
      </c>
      <c r="AC8" s="39">
        <f t="shared" ref="AC8:AC16" si="11">SUM(D8,G8,J8,M8,Q8,T8,W8,Z8)</f>
        <v>95840</v>
      </c>
    </row>
    <row r="9" spans="1:29" ht="15" customHeight="1">
      <c r="A9" s="351" t="s">
        <v>365</v>
      </c>
      <c r="B9" s="246">
        <v>61578</v>
      </c>
      <c r="C9" s="189">
        <v>58081</v>
      </c>
      <c r="D9" s="184">
        <f t="shared" si="2"/>
        <v>119659</v>
      </c>
      <c r="E9" s="246">
        <v>4200</v>
      </c>
      <c r="F9" s="189">
        <v>3606</v>
      </c>
      <c r="G9" s="184">
        <f t="shared" si="3"/>
        <v>7806</v>
      </c>
      <c r="H9" s="246">
        <v>442</v>
      </c>
      <c r="I9" s="189">
        <v>469</v>
      </c>
      <c r="J9" s="184">
        <f t="shared" si="4"/>
        <v>911</v>
      </c>
      <c r="K9" s="246">
        <v>23</v>
      </c>
      <c r="L9" s="189">
        <v>12</v>
      </c>
      <c r="M9" s="184">
        <f t="shared" si="5"/>
        <v>35</v>
      </c>
      <c r="N9" s="304" t="s">
        <v>365</v>
      </c>
      <c r="O9" s="189">
        <v>6</v>
      </c>
      <c r="P9" s="189">
        <v>11</v>
      </c>
      <c r="Q9" s="184">
        <f t="shared" si="6"/>
        <v>17</v>
      </c>
      <c r="R9" s="246">
        <v>4</v>
      </c>
      <c r="S9" s="189">
        <v>7</v>
      </c>
      <c r="T9" s="184">
        <f t="shared" ref="T9:T14" si="12">SUM(R9:S9)</f>
        <v>11</v>
      </c>
      <c r="U9" s="246">
        <v>150</v>
      </c>
      <c r="V9" s="189">
        <v>146</v>
      </c>
      <c r="W9" s="184">
        <f t="shared" si="7"/>
        <v>296</v>
      </c>
      <c r="X9" s="246">
        <v>26</v>
      </c>
      <c r="Y9" s="189">
        <v>20</v>
      </c>
      <c r="Z9" s="184">
        <f t="shared" si="8"/>
        <v>46</v>
      </c>
      <c r="AA9" s="24">
        <f t="shared" si="9"/>
        <v>66429</v>
      </c>
      <c r="AB9" s="24">
        <f t="shared" si="10"/>
        <v>62352</v>
      </c>
      <c r="AC9" s="39">
        <f t="shared" si="11"/>
        <v>128781</v>
      </c>
    </row>
    <row r="10" spans="1:29" ht="15" customHeight="1">
      <c r="A10" s="351" t="s">
        <v>595</v>
      </c>
      <c r="B10" s="246">
        <v>61852</v>
      </c>
      <c r="C10" s="189">
        <v>58706</v>
      </c>
      <c r="D10" s="184">
        <f t="shared" si="2"/>
        <v>120558</v>
      </c>
      <c r="E10" s="246">
        <v>903</v>
      </c>
      <c r="F10" s="189">
        <v>831</v>
      </c>
      <c r="G10" s="184">
        <f t="shared" si="3"/>
        <v>1734</v>
      </c>
      <c r="H10" s="246">
        <v>48</v>
      </c>
      <c r="I10" s="189">
        <v>37</v>
      </c>
      <c r="J10" s="184">
        <f t="shared" si="4"/>
        <v>85</v>
      </c>
      <c r="K10" s="246">
        <v>7</v>
      </c>
      <c r="L10" s="189">
        <v>3</v>
      </c>
      <c r="M10" s="184">
        <f t="shared" si="5"/>
        <v>10</v>
      </c>
      <c r="N10" s="304" t="s">
        <v>595</v>
      </c>
      <c r="O10" s="189">
        <v>1</v>
      </c>
      <c r="P10" s="189">
        <v>1</v>
      </c>
      <c r="Q10" s="184">
        <f t="shared" si="6"/>
        <v>2</v>
      </c>
      <c r="R10" s="444" t="s">
        <v>1127</v>
      </c>
      <c r="S10" s="373" t="s">
        <v>1127</v>
      </c>
      <c r="T10" s="417" t="s">
        <v>1127</v>
      </c>
      <c r="U10" s="246">
        <v>488</v>
      </c>
      <c r="V10" s="189">
        <v>477</v>
      </c>
      <c r="W10" s="184">
        <f t="shared" si="7"/>
        <v>965</v>
      </c>
      <c r="X10" s="246">
        <v>31</v>
      </c>
      <c r="Y10" s="189">
        <v>30</v>
      </c>
      <c r="Z10" s="184">
        <f t="shared" si="8"/>
        <v>61</v>
      </c>
      <c r="AA10" s="24">
        <f t="shared" si="9"/>
        <v>63330</v>
      </c>
      <c r="AB10" s="24">
        <f t="shared" si="10"/>
        <v>60085</v>
      </c>
      <c r="AC10" s="39">
        <f t="shared" si="11"/>
        <v>123415</v>
      </c>
    </row>
    <row r="11" spans="1:29" ht="15" customHeight="1">
      <c r="A11" s="351" t="s">
        <v>597</v>
      </c>
      <c r="B11" s="246">
        <v>69203</v>
      </c>
      <c r="C11" s="189">
        <v>67049</v>
      </c>
      <c r="D11" s="184">
        <f t="shared" si="2"/>
        <v>136252</v>
      </c>
      <c r="E11" s="246">
        <v>2150</v>
      </c>
      <c r="F11" s="189">
        <v>2003</v>
      </c>
      <c r="G11" s="184">
        <f t="shared" si="3"/>
        <v>4153</v>
      </c>
      <c r="H11" s="246">
        <v>26</v>
      </c>
      <c r="I11" s="189">
        <v>22</v>
      </c>
      <c r="J11" s="184">
        <f t="shared" si="4"/>
        <v>48</v>
      </c>
      <c r="K11" s="246">
        <v>3</v>
      </c>
      <c r="L11" s="189">
        <v>2</v>
      </c>
      <c r="M11" s="184">
        <f t="shared" si="5"/>
        <v>5</v>
      </c>
      <c r="N11" s="304" t="s">
        <v>597</v>
      </c>
      <c r="O11" s="189">
        <v>8</v>
      </c>
      <c r="P11" s="189">
        <v>10</v>
      </c>
      <c r="Q11" s="184">
        <f t="shared" si="6"/>
        <v>18</v>
      </c>
      <c r="R11" s="246">
        <v>55</v>
      </c>
      <c r="S11" s="189">
        <v>46</v>
      </c>
      <c r="T11" s="184">
        <f t="shared" si="12"/>
        <v>101</v>
      </c>
      <c r="U11" s="246">
        <v>14191</v>
      </c>
      <c r="V11" s="189">
        <v>14385</v>
      </c>
      <c r="W11" s="184">
        <f t="shared" si="7"/>
        <v>28576</v>
      </c>
      <c r="X11" s="246">
        <v>33</v>
      </c>
      <c r="Y11" s="189">
        <v>29</v>
      </c>
      <c r="Z11" s="184">
        <f t="shared" si="8"/>
        <v>62</v>
      </c>
      <c r="AA11" s="24">
        <f t="shared" si="9"/>
        <v>85669</v>
      </c>
      <c r="AB11" s="24">
        <f t="shared" si="10"/>
        <v>83546</v>
      </c>
      <c r="AC11" s="39">
        <f t="shared" si="11"/>
        <v>169215</v>
      </c>
    </row>
    <row r="12" spans="1:29" ht="15" customHeight="1">
      <c r="A12" s="351" t="s">
        <v>598</v>
      </c>
      <c r="B12" s="246">
        <v>50835</v>
      </c>
      <c r="C12" s="189">
        <v>48187</v>
      </c>
      <c r="D12" s="184">
        <f t="shared" si="2"/>
        <v>99022</v>
      </c>
      <c r="E12" s="246">
        <v>1246</v>
      </c>
      <c r="F12" s="189">
        <v>1176</v>
      </c>
      <c r="G12" s="184">
        <f t="shared" si="3"/>
        <v>2422</v>
      </c>
      <c r="H12" s="246">
        <v>23</v>
      </c>
      <c r="I12" s="189">
        <v>23</v>
      </c>
      <c r="J12" s="184">
        <f t="shared" si="4"/>
        <v>46</v>
      </c>
      <c r="K12" s="246">
        <v>4</v>
      </c>
      <c r="L12" s="189">
        <v>2</v>
      </c>
      <c r="M12" s="184">
        <f t="shared" si="5"/>
        <v>6</v>
      </c>
      <c r="N12" s="304" t="s">
        <v>598</v>
      </c>
      <c r="O12" s="189">
        <v>7</v>
      </c>
      <c r="P12" s="189">
        <v>10</v>
      </c>
      <c r="Q12" s="184">
        <f t="shared" si="6"/>
        <v>17</v>
      </c>
      <c r="R12" s="246">
        <v>802</v>
      </c>
      <c r="S12" s="189">
        <v>787</v>
      </c>
      <c r="T12" s="184">
        <f t="shared" si="12"/>
        <v>1589</v>
      </c>
      <c r="U12" s="246">
        <v>9316</v>
      </c>
      <c r="V12" s="189">
        <v>9125</v>
      </c>
      <c r="W12" s="184">
        <f t="shared" si="7"/>
        <v>18441</v>
      </c>
      <c r="X12" s="246">
        <v>6</v>
      </c>
      <c r="Y12" s="189">
        <v>3</v>
      </c>
      <c r="Z12" s="184">
        <f t="shared" si="8"/>
        <v>9</v>
      </c>
      <c r="AA12" s="24">
        <f t="shared" si="9"/>
        <v>62239</v>
      </c>
      <c r="AB12" s="24">
        <f t="shared" si="10"/>
        <v>59313</v>
      </c>
      <c r="AC12" s="39">
        <f t="shared" si="11"/>
        <v>121552</v>
      </c>
    </row>
    <row r="13" spans="1:29" ht="15" customHeight="1">
      <c r="A13" s="351" t="s">
        <v>599</v>
      </c>
      <c r="B13" s="246">
        <v>37138</v>
      </c>
      <c r="C13" s="189">
        <v>34448</v>
      </c>
      <c r="D13" s="184">
        <f t="shared" si="2"/>
        <v>71586</v>
      </c>
      <c r="E13" s="246">
        <v>1521</v>
      </c>
      <c r="F13" s="189">
        <v>1336</v>
      </c>
      <c r="G13" s="184">
        <f t="shared" si="3"/>
        <v>2857</v>
      </c>
      <c r="H13" s="246">
        <v>6</v>
      </c>
      <c r="I13" s="189">
        <v>1</v>
      </c>
      <c r="J13" s="184">
        <f t="shared" si="4"/>
        <v>7</v>
      </c>
      <c r="K13" s="246">
        <v>2</v>
      </c>
      <c r="L13" s="373" t="s">
        <v>1127</v>
      </c>
      <c r="M13" s="184">
        <f t="shared" si="5"/>
        <v>2</v>
      </c>
      <c r="N13" s="304" t="s">
        <v>599</v>
      </c>
      <c r="O13" s="373" t="s">
        <v>1127</v>
      </c>
      <c r="P13" s="189">
        <v>3</v>
      </c>
      <c r="Q13" s="184">
        <f t="shared" si="6"/>
        <v>3</v>
      </c>
      <c r="R13" s="246">
        <v>291</v>
      </c>
      <c r="S13" s="189">
        <v>272</v>
      </c>
      <c r="T13" s="184">
        <f t="shared" si="12"/>
        <v>563</v>
      </c>
      <c r="U13" s="246">
        <v>560</v>
      </c>
      <c r="V13" s="189">
        <v>535</v>
      </c>
      <c r="W13" s="184">
        <f t="shared" si="7"/>
        <v>1095</v>
      </c>
      <c r="X13" s="246">
        <v>7</v>
      </c>
      <c r="Y13" s="189">
        <v>3</v>
      </c>
      <c r="Z13" s="184">
        <f t="shared" si="8"/>
        <v>10</v>
      </c>
      <c r="AA13" s="24">
        <f t="shared" si="9"/>
        <v>39525</v>
      </c>
      <c r="AB13" s="24">
        <f t="shared" si="10"/>
        <v>36598</v>
      </c>
      <c r="AC13" s="39">
        <f t="shared" si="11"/>
        <v>76123</v>
      </c>
    </row>
    <row r="14" spans="1:29" ht="15" customHeight="1">
      <c r="A14" s="351" t="s">
        <v>771</v>
      </c>
      <c r="B14" s="246">
        <v>80803</v>
      </c>
      <c r="C14" s="189">
        <v>76786</v>
      </c>
      <c r="D14" s="184">
        <f t="shared" si="2"/>
        <v>157589</v>
      </c>
      <c r="E14" s="246">
        <v>222</v>
      </c>
      <c r="F14" s="189">
        <v>126</v>
      </c>
      <c r="G14" s="184">
        <f t="shared" si="3"/>
        <v>348</v>
      </c>
      <c r="H14" s="246">
        <v>44</v>
      </c>
      <c r="I14" s="189">
        <v>32</v>
      </c>
      <c r="J14" s="184">
        <f t="shared" si="4"/>
        <v>76</v>
      </c>
      <c r="K14" s="246">
        <v>6</v>
      </c>
      <c r="L14" s="189">
        <v>6</v>
      </c>
      <c r="M14" s="184">
        <f t="shared" si="5"/>
        <v>12</v>
      </c>
      <c r="N14" s="304" t="s">
        <v>771</v>
      </c>
      <c r="O14" s="189">
        <v>3</v>
      </c>
      <c r="P14" s="189">
        <v>3</v>
      </c>
      <c r="Q14" s="184">
        <f t="shared" si="6"/>
        <v>6</v>
      </c>
      <c r="R14" s="246">
        <v>587</v>
      </c>
      <c r="S14" s="189">
        <v>565</v>
      </c>
      <c r="T14" s="184">
        <f t="shared" si="12"/>
        <v>1152</v>
      </c>
      <c r="U14" s="246">
        <v>1375</v>
      </c>
      <c r="V14" s="189">
        <v>1304</v>
      </c>
      <c r="W14" s="184">
        <f t="shared" si="7"/>
        <v>2679</v>
      </c>
      <c r="X14" s="246">
        <v>77</v>
      </c>
      <c r="Y14" s="189">
        <v>68</v>
      </c>
      <c r="Z14" s="184">
        <f t="shared" si="8"/>
        <v>145</v>
      </c>
      <c r="AA14" s="24">
        <f t="shared" si="9"/>
        <v>83117</v>
      </c>
      <c r="AB14" s="24">
        <f t="shared" si="10"/>
        <v>78890</v>
      </c>
      <c r="AC14" s="39">
        <f t="shared" si="11"/>
        <v>162007</v>
      </c>
    </row>
    <row r="15" spans="1:29" ht="15" customHeight="1">
      <c r="A15" s="351" t="s">
        <v>600</v>
      </c>
      <c r="B15" s="246">
        <v>85950</v>
      </c>
      <c r="C15" s="189">
        <v>80750</v>
      </c>
      <c r="D15" s="184">
        <f t="shared" si="2"/>
        <v>166700</v>
      </c>
      <c r="E15" s="246">
        <v>6057</v>
      </c>
      <c r="F15" s="189">
        <v>5504</v>
      </c>
      <c r="G15" s="184">
        <f t="shared" si="3"/>
        <v>11561</v>
      </c>
      <c r="H15" s="246">
        <v>12</v>
      </c>
      <c r="I15" s="189">
        <v>10</v>
      </c>
      <c r="J15" s="184">
        <f t="shared" si="4"/>
        <v>22</v>
      </c>
      <c r="K15" s="444" t="s">
        <v>1127</v>
      </c>
      <c r="L15" s="189">
        <v>1</v>
      </c>
      <c r="M15" s="184">
        <f t="shared" si="5"/>
        <v>1</v>
      </c>
      <c r="N15" s="304" t="s">
        <v>600</v>
      </c>
      <c r="O15" s="189">
        <v>1</v>
      </c>
      <c r="P15" s="189">
        <v>2</v>
      </c>
      <c r="Q15" s="184">
        <f t="shared" si="6"/>
        <v>3</v>
      </c>
      <c r="R15" s="444" t="s">
        <v>1127</v>
      </c>
      <c r="S15" s="373" t="s">
        <v>1127</v>
      </c>
      <c r="T15" s="417" t="s">
        <v>1127</v>
      </c>
      <c r="U15" s="246">
        <v>301</v>
      </c>
      <c r="V15" s="189">
        <v>322</v>
      </c>
      <c r="W15" s="184">
        <f t="shared" si="7"/>
        <v>623</v>
      </c>
      <c r="X15" s="246">
        <v>47</v>
      </c>
      <c r="Y15" s="189">
        <v>50</v>
      </c>
      <c r="Z15" s="184">
        <f t="shared" si="8"/>
        <v>97</v>
      </c>
      <c r="AA15" s="24">
        <f t="shared" si="9"/>
        <v>92368</v>
      </c>
      <c r="AB15" s="24">
        <f t="shared" si="10"/>
        <v>86639</v>
      </c>
      <c r="AC15" s="39">
        <f t="shared" si="11"/>
        <v>179007</v>
      </c>
    </row>
    <row r="16" spans="1:29" ht="15" customHeight="1">
      <c r="A16" s="351" t="s">
        <v>602</v>
      </c>
      <c r="B16" s="246">
        <v>97181</v>
      </c>
      <c r="C16" s="189">
        <v>93348</v>
      </c>
      <c r="D16" s="184">
        <f t="shared" si="2"/>
        <v>190529</v>
      </c>
      <c r="E16" s="246">
        <v>13066</v>
      </c>
      <c r="F16" s="189">
        <v>11748</v>
      </c>
      <c r="G16" s="184">
        <f t="shared" si="3"/>
        <v>24814</v>
      </c>
      <c r="H16" s="246">
        <v>4</v>
      </c>
      <c r="I16" s="189">
        <v>1</v>
      </c>
      <c r="J16" s="184">
        <f t="shared" si="4"/>
        <v>5</v>
      </c>
      <c r="K16" s="444" t="s">
        <v>1127</v>
      </c>
      <c r="L16" s="373" t="s">
        <v>1127</v>
      </c>
      <c r="M16" s="417" t="s">
        <v>1127</v>
      </c>
      <c r="N16" s="304" t="s">
        <v>602</v>
      </c>
      <c r="O16" s="189">
        <v>1</v>
      </c>
      <c r="P16" s="373" t="s">
        <v>1127</v>
      </c>
      <c r="Q16" s="184">
        <f t="shared" si="6"/>
        <v>1</v>
      </c>
      <c r="R16" s="444" t="s">
        <v>1127</v>
      </c>
      <c r="S16" s="373" t="s">
        <v>1127</v>
      </c>
      <c r="T16" s="417" t="s">
        <v>1127</v>
      </c>
      <c r="U16" s="246">
        <v>2581</v>
      </c>
      <c r="V16" s="189">
        <v>2561</v>
      </c>
      <c r="W16" s="184">
        <f t="shared" si="7"/>
        <v>5142</v>
      </c>
      <c r="X16" s="246">
        <v>42</v>
      </c>
      <c r="Y16" s="189">
        <v>39</v>
      </c>
      <c r="Z16" s="184">
        <f t="shared" si="8"/>
        <v>81</v>
      </c>
      <c r="AA16" s="24">
        <f t="shared" si="9"/>
        <v>112875</v>
      </c>
      <c r="AB16" s="24">
        <f t="shared" si="10"/>
        <v>107697</v>
      </c>
      <c r="AC16" s="39">
        <f t="shared" si="11"/>
        <v>220572</v>
      </c>
    </row>
    <row r="17" spans="1:29" ht="15" customHeight="1">
      <c r="A17" s="350" t="s">
        <v>366</v>
      </c>
      <c r="B17" s="64">
        <f t="shared" ref="B17:M17" si="13">SUM(B18:B25)</f>
        <v>360378</v>
      </c>
      <c r="C17" s="275">
        <f t="shared" si="13"/>
        <v>341220</v>
      </c>
      <c r="D17" s="44">
        <f t="shared" si="13"/>
        <v>701598</v>
      </c>
      <c r="E17" s="64">
        <f t="shared" si="13"/>
        <v>18244</v>
      </c>
      <c r="F17" s="275">
        <f t="shared" si="13"/>
        <v>16493</v>
      </c>
      <c r="G17" s="44">
        <f t="shared" si="13"/>
        <v>34737</v>
      </c>
      <c r="H17" s="64">
        <f t="shared" si="13"/>
        <v>813</v>
      </c>
      <c r="I17" s="275">
        <f t="shared" si="13"/>
        <v>889</v>
      </c>
      <c r="J17" s="44">
        <f t="shared" si="13"/>
        <v>1702</v>
      </c>
      <c r="K17" s="64">
        <f t="shared" si="13"/>
        <v>10</v>
      </c>
      <c r="L17" s="275">
        <f t="shared" si="13"/>
        <v>14</v>
      </c>
      <c r="M17" s="44">
        <f t="shared" si="13"/>
        <v>24</v>
      </c>
      <c r="N17" s="303" t="s">
        <v>366</v>
      </c>
      <c r="O17" s="275">
        <f t="shared" ref="O17:AC17" si="14">SUM(O18:O25)</f>
        <v>22</v>
      </c>
      <c r="P17" s="275">
        <f t="shared" si="14"/>
        <v>21</v>
      </c>
      <c r="Q17" s="44">
        <f t="shared" si="14"/>
        <v>43</v>
      </c>
      <c r="R17" s="64">
        <f t="shared" si="14"/>
        <v>4</v>
      </c>
      <c r="S17" s="275">
        <f t="shared" si="14"/>
        <v>2</v>
      </c>
      <c r="T17" s="44">
        <f t="shared" si="14"/>
        <v>6</v>
      </c>
      <c r="U17" s="64">
        <f t="shared" si="14"/>
        <v>91206</v>
      </c>
      <c r="V17" s="275">
        <f t="shared" si="14"/>
        <v>89783</v>
      </c>
      <c r="W17" s="44">
        <f t="shared" si="14"/>
        <v>180989</v>
      </c>
      <c r="X17" s="64">
        <f t="shared" si="14"/>
        <v>366</v>
      </c>
      <c r="Y17" s="275">
        <f t="shared" si="14"/>
        <v>370</v>
      </c>
      <c r="Z17" s="44">
        <f t="shared" si="14"/>
        <v>736</v>
      </c>
      <c r="AA17" s="275">
        <f t="shared" si="14"/>
        <v>471043</v>
      </c>
      <c r="AB17" s="275">
        <f t="shared" si="14"/>
        <v>448792</v>
      </c>
      <c r="AC17" s="44">
        <f t="shared" si="14"/>
        <v>919835</v>
      </c>
    </row>
    <row r="18" spans="1:29" ht="15" customHeight="1">
      <c r="A18" s="351" t="s">
        <v>605</v>
      </c>
      <c r="B18" s="246">
        <v>64404</v>
      </c>
      <c r="C18" s="189">
        <v>60754</v>
      </c>
      <c r="D18" s="184">
        <f t="shared" ref="D18:D25" si="15">SUM(B18:C18)</f>
        <v>125158</v>
      </c>
      <c r="E18" s="246">
        <v>3609</v>
      </c>
      <c r="F18" s="189">
        <v>3277</v>
      </c>
      <c r="G18" s="184">
        <f t="shared" ref="G18:G25" si="16">SUM(E18:F18)</f>
        <v>6886</v>
      </c>
      <c r="H18" s="246">
        <v>41</v>
      </c>
      <c r="I18" s="189">
        <v>29</v>
      </c>
      <c r="J18" s="184">
        <f t="shared" ref="J18:J25" si="17">SUM(H18:I18)</f>
        <v>70</v>
      </c>
      <c r="K18" s="246">
        <v>3</v>
      </c>
      <c r="L18" s="373" t="s">
        <v>1127</v>
      </c>
      <c r="M18" s="184">
        <f t="shared" ref="M18:M25" si="18">SUM(K18:L18)</f>
        <v>3</v>
      </c>
      <c r="N18" s="304" t="s">
        <v>605</v>
      </c>
      <c r="O18" s="189">
        <v>3</v>
      </c>
      <c r="P18" s="189">
        <v>6</v>
      </c>
      <c r="Q18" s="184">
        <f t="shared" ref="Q18:Q25" si="19">SUM(O18:P18)</f>
        <v>9</v>
      </c>
      <c r="R18" s="246">
        <v>3</v>
      </c>
      <c r="S18" s="189">
        <v>2</v>
      </c>
      <c r="T18" s="184">
        <f>SUM(R18:S18)</f>
        <v>5</v>
      </c>
      <c r="U18" s="246">
        <v>2898</v>
      </c>
      <c r="V18" s="189">
        <v>2735</v>
      </c>
      <c r="W18" s="184">
        <f t="shared" ref="W18:W25" si="20">SUM(U18:V18)</f>
        <v>5633</v>
      </c>
      <c r="X18" s="246">
        <v>29</v>
      </c>
      <c r="Y18" s="189">
        <v>32</v>
      </c>
      <c r="Z18" s="184">
        <f t="shared" ref="Z18:Z25" si="21">SUM(X18:Y18)</f>
        <v>61</v>
      </c>
      <c r="AA18" s="24">
        <f t="shared" ref="AA18:AC25" si="22">SUM(B18,E18,H18,K18,O18,R18,U18,X18)</f>
        <v>70990</v>
      </c>
      <c r="AB18" s="24">
        <f t="shared" si="22"/>
        <v>66835</v>
      </c>
      <c r="AC18" s="39">
        <f t="shared" si="22"/>
        <v>137825</v>
      </c>
    </row>
    <row r="19" spans="1:29" ht="15" customHeight="1">
      <c r="A19" s="351" t="s">
        <v>604</v>
      </c>
      <c r="B19" s="246">
        <v>42037</v>
      </c>
      <c r="C19" s="189">
        <v>39791</v>
      </c>
      <c r="D19" s="184">
        <f t="shared" si="15"/>
        <v>81828</v>
      </c>
      <c r="E19" s="246">
        <v>1474</v>
      </c>
      <c r="F19" s="189">
        <v>1310</v>
      </c>
      <c r="G19" s="184">
        <f t="shared" si="16"/>
        <v>2784</v>
      </c>
      <c r="H19" s="246">
        <v>17</v>
      </c>
      <c r="I19" s="189">
        <v>16</v>
      </c>
      <c r="J19" s="184">
        <f t="shared" si="17"/>
        <v>33</v>
      </c>
      <c r="K19" s="444" t="s">
        <v>1127</v>
      </c>
      <c r="L19" s="373" t="s">
        <v>1127</v>
      </c>
      <c r="M19" s="417" t="s">
        <v>1127</v>
      </c>
      <c r="N19" s="304" t="s">
        <v>604</v>
      </c>
      <c r="O19" s="189">
        <v>8</v>
      </c>
      <c r="P19" s="189">
        <v>6</v>
      </c>
      <c r="Q19" s="184">
        <f t="shared" si="19"/>
        <v>14</v>
      </c>
      <c r="R19" s="246">
        <v>1</v>
      </c>
      <c r="S19" s="373" t="s">
        <v>1127</v>
      </c>
      <c r="T19" s="184">
        <f>SUM(R19:S19)</f>
        <v>1</v>
      </c>
      <c r="U19" s="246">
        <v>9016</v>
      </c>
      <c r="V19" s="189">
        <v>8875</v>
      </c>
      <c r="W19" s="184">
        <f t="shared" si="20"/>
        <v>17891</v>
      </c>
      <c r="X19" s="246">
        <v>10</v>
      </c>
      <c r="Y19" s="189">
        <v>8</v>
      </c>
      <c r="Z19" s="184">
        <f t="shared" si="21"/>
        <v>18</v>
      </c>
      <c r="AA19" s="24">
        <f t="shared" si="22"/>
        <v>52563</v>
      </c>
      <c r="AB19" s="24">
        <f t="shared" si="22"/>
        <v>50006</v>
      </c>
      <c r="AC19" s="39">
        <f t="shared" si="22"/>
        <v>102569</v>
      </c>
    </row>
    <row r="20" spans="1:29" ht="15" customHeight="1">
      <c r="A20" s="351" t="s">
        <v>368</v>
      </c>
      <c r="B20" s="246">
        <v>30452</v>
      </c>
      <c r="C20" s="189">
        <v>28551</v>
      </c>
      <c r="D20" s="184">
        <f t="shared" si="15"/>
        <v>59003</v>
      </c>
      <c r="E20" s="246">
        <v>829</v>
      </c>
      <c r="F20" s="189">
        <v>797</v>
      </c>
      <c r="G20" s="184">
        <f t="shared" si="16"/>
        <v>1626</v>
      </c>
      <c r="H20" s="444" t="s">
        <v>1127</v>
      </c>
      <c r="I20" s="373" t="s">
        <v>1127</v>
      </c>
      <c r="J20" s="417" t="s">
        <v>1127</v>
      </c>
      <c r="K20" s="246">
        <v>1</v>
      </c>
      <c r="L20" s="189">
        <v>2</v>
      </c>
      <c r="M20" s="184">
        <f t="shared" si="18"/>
        <v>3</v>
      </c>
      <c r="N20" s="304" t="s">
        <v>368</v>
      </c>
      <c r="O20" s="189">
        <v>4</v>
      </c>
      <c r="P20" s="189">
        <v>2</v>
      </c>
      <c r="Q20" s="184">
        <f t="shared" si="19"/>
        <v>6</v>
      </c>
      <c r="R20" s="444" t="s">
        <v>1127</v>
      </c>
      <c r="S20" s="373" t="s">
        <v>1127</v>
      </c>
      <c r="T20" s="417" t="s">
        <v>1127</v>
      </c>
      <c r="U20" s="246">
        <v>5946</v>
      </c>
      <c r="V20" s="189">
        <v>5781</v>
      </c>
      <c r="W20" s="184">
        <f t="shared" si="20"/>
        <v>11727</v>
      </c>
      <c r="X20" s="246">
        <v>69</v>
      </c>
      <c r="Y20" s="189">
        <v>68</v>
      </c>
      <c r="Z20" s="184">
        <f t="shared" si="21"/>
        <v>137</v>
      </c>
      <c r="AA20" s="24">
        <f t="shared" si="22"/>
        <v>37301</v>
      </c>
      <c r="AB20" s="24">
        <f t="shared" si="22"/>
        <v>35201</v>
      </c>
      <c r="AC20" s="39">
        <f t="shared" si="22"/>
        <v>72502</v>
      </c>
    </row>
    <row r="21" spans="1:29" ht="15" customHeight="1">
      <c r="A21" s="351" t="s">
        <v>606</v>
      </c>
      <c r="B21" s="246">
        <v>29815</v>
      </c>
      <c r="C21" s="189">
        <v>28330</v>
      </c>
      <c r="D21" s="184">
        <f t="shared" si="15"/>
        <v>58145</v>
      </c>
      <c r="E21" s="246">
        <v>660</v>
      </c>
      <c r="F21" s="189">
        <v>586</v>
      </c>
      <c r="G21" s="184">
        <f t="shared" si="16"/>
        <v>1246</v>
      </c>
      <c r="H21" s="246">
        <v>157</v>
      </c>
      <c r="I21" s="189">
        <v>148</v>
      </c>
      <c r="J21" s="184">
        <f t="shared" si="17"/>
        <v>305</v>
      </c>
      <c r="K21" s="246">
        <v>1</v>
      </c>
      <c r="L21" s="189">
        <v>1</v>
      </c>
      <c r="M21" s="184">
        <f t="shared" si="18"/>
        <v>2</v>
      </c>
      <c r="N21" s="304" t="s">
        <v>606</v>
      </c>
      <c r="O21" s="189">
        <v>1</v>
      </c>
      <c r="P21" s="373" t="s">
        <v>1127</v>
      </c>
      <c r="Q21" s="184">
        <f t="shared" si="19"/>
        <v>1</v>
      </c>
      <c r="R21" s="444" t="s">
        <v>1127</v>
      </c>
      <c r="S21" s="373" t="s">
        <v>1127</v>
      </c>
      <c r="T21" s="417" t="s">
        <v>1127</v>
      </c>
      <c r="U21" s="246">
        <v>22482</v>
      </c>
      <c r="V21" s="189">
        <v>22045</v>
      </c>
      <c r="W21" s="184">
        <f t="shared" si="20"/>
        <v>44527</v>
      </c>
      <c r="X21" s="246">
        <v>52</v>
      </c>
      <c r="Y21" s="189">
        <v>48</v>
      </c>
      <c r="Z21" s="184">
        <f t="shared" si="21"/>
        <v>100</v>
      </c>
      <c r="AA21" s="24">
        <f t="shared" si="22"/>
        <v>53168</v>
      </c>
      <c r="AB21" s="24">
        <f t="shared" si="22"/>
        <v>51158</v>
      </c>
      <c r="AC21" s="39">
        <f t="shared" si="22"/>
        <v>104326</v>
      </c>
    </row>
    <row r="22" spans="1:29" ht="15" customHeight="1">
      <c r="A22" s="351" t="s">
        <v>347</v>
      </c>
      <c r="B22" s="246">
        <v>51315</v>
      </c>
      <c r="C22" s="189">
        <v>49270</v>
      </c>
      <c r="D22" s="184">
        <f t="shared" si="15"/>
        <v>100585</v>
      </c>
      <c r="E22" s="246">
        <v>6006</v>
      </c>
      <c r="F22" s="189">
        <v>5426</v>
      </c>
      <c r="G22" s="184">
        <f t="shared" si="16"/>
        <v>11432</v>
      </c>
      <c r="H22" s="444" t="s">
        <v>1127</v>
      </c>
      <c r="I22" s="189">
        <v>1</v>
      </c>
      <c r="J22" s="184">
        <f t="shared" si="17"/>
        <v>1</v>
      </c>
      <c r="K22" s="246">
        <v>1</v>
      </c>
      <c r="L22" s="373" t="s">
        <v>1127</v>
      </c>
      <c r="M22" s="184">
        <f t="shared" si="18"/>
        <v>1</v>
      </c>
      <c r="N22" s="304" t="s">
        <v>347</v>
      </c>
      <c r="O22" s="189">
        <v>1</v>
      </c>
      <c r="P22" s="189">
        <v>2</v>
      </c>
      <c r="Q22" s="184">
        <f t="shared" si="19"/>
        <v>3</v>
      </c>
      <c r="R22" s="444" t="s">
        <v>1127</v>
      </c>
      <c r="S22" s="373" t="s">
        <v>1127</v>
      </c>
      <c r="T22" s="417" t="s">
        <v>1127</v>
      </c>
      <c r="U22" s="246">
        <v>8358</v>
      </c>
      <c r="V22" s="189">
        <v>8301</v>
      </c>
      <c r="W22" s="184">
        <f t="shared" si="20"/>
        <v>16659</v>
      </c>
      <c r="X22" s="246">
        <v>32</v>
      </c>
      <c r="Y22" s="189">
        <v>34</v>
      </c>
      <c r="Z22" s="184">
        <f t="shared" si="21"/>
        <v>66</v>
      </c>
      <c r="AA22" s="24">
        <f t="shared" si="22"/>
        <v>65713</v>
      </c>
      <c r="AB22" s="24">
        <f t="shared" si="22"/>
        <v>63034</v>
      </c>
      <c r="AC22" s="39">
        <f t="shared" si="22"/>
        <v>128747</v>
      </c>
    </row>
    <row r="23" spans="1:29" ht="15" customHeight="1">
      <c r="A23" s="351" t="s">
        <v>369</v>
      </c>
      <c r="B23" s="246">
        <v>51093</v>
      </c>
      <c r="C23" s="189">
        <v>48635</v>
      </c>
      <c r="D23" s="184">
        <f t="shared" si="15"/>
        <v>99728</v>
      </c>
      <c r="E23" s="246">
        <v>4455</v>
      </c>
      <c r="F23" s="189">
        <v>4036</v>
      </c>
      <c r="G23" s="184">
        <f t="shared" si="16"/>
        <v>8491</v>
      </c>
      <c r="H23" s="246">
        <v>14</v>
      </c>
      <c r="I23" s="189">
        <v>7</v>
      </c>
      <c r="J23" s="184">
        <f t="shared" si="17"/>
        <v>21</v>
      </c>
      <c r="K23" s="444" t="s">
        <v>1127</v>
      </c>
      <c r="L23" s="373" t="s">
        <v>1127</v>
      </c>
      <c r="M23" s="417" t="s">
        <v>1127</v>
      </c>
      <c r="N23" s="304" t="s">
        <v>369</v>
      </c>
      <c r="O23" s="189">
        <v>1</v>
      </c>
      <c r="P23" s="189">
        <v>2</v>
      </c>
      <c r="Q23" s="184">
        <f t="shared" si="19"/>
        <v>3</v>
      </c>
      <c r="R23" s="444" t="s">
        <v>1127</v>
      </c>
      <c r="S23" s="373" t="s">
        <v>1127</v>
      </c>
      <c r="T23" s="417" t="s">
        <v>1127</v>
      </c>
      <c r="U23" s="246">
        <v>9658</v>
      </c>
      <c r="V23" s="189">
        <v>9396</v>
      </c>
      <c r="W23" s="184">
        <f t="shared" si="20"/>
        <v>19054</v>
      </c>
      <c r="X23" s="246">
        <v>76</v>
      </c>
      <c r="Y23" s="189">
        <v>72</v>
      </c>
      <c r="Z23" s="184">
        <f t="shared" si="21"/>
        <v>148</v>
      </c>
      <c r="AA23" s="24">
        <f t="shared" si="22"/>
        <v>65297</v>
      </c>
      <c r="AB23" s="24">
        <f t="shared" si="22"/>
        <v>62148</v>
      </c>
      <c r="AC23" s="39">
        <f t="shared" si="22"/>
        <v>127445</v>
      </c>
    </row>
    <row r="24" spans="1:29" ht="15" customHeight="1">
      <c r="A24" s="351" t="s">
        <v>349</v>
      </c>
      <c r="B24" s="246">
        <v>53623</v>
      </c>
      <c r="C24" s="189">
        <v>50656</v>
      </c>
      <c r="D24" s="184">
        <f t="shared" si="15"/>
        <v>104279</v>
      </c>
      <c r="E24" s="246">
        <v>958</v>
      </c>
      <c r="F24" s="189">
        <v>836</v>
      </c>
      <c r="G24" s="184">
        <f t="shared" si="16"/>
        <v>1794</v>
      </c>
      <c r="H24" s="246">
        <v>29</v>
      </c>
      <c r="I24" s="189">
        <v>35</v>
      </c>
      <c r="J24" s="184">
        <f t="shared" si="17"/>
        <v>64</v>
      </c>
      <c r="K24" s="246">
        <v>3</v>
      </c>
      <c r="L24" s="189">
        <v>6</v>
      </c>
      <c r="M24" s="184">
        <f t="shared" si="18"/>
        <v>9</v>
      </c>
      <c r="N24" s="304" t="s">
        <v>349</v>
      </c>
      <c r="O24" s="189">
        <v>3</v>
      </c>
      <c r="P24" s="189">
        <v>3</v>
      </c>
      <c r="Q24" s="184">
        <f t="shared" si="19"/>
        <v>6</v>
      </c>
      <c r="R24" s="444" t="s">
        <v>1127</v>
      </c>
      <c r="S24" s="373" t="s">
        <v>1127</v>
      </c>
      <c r="T24" s="417" t="s">
        <v>1127</v>
      </c>
      <c r="U24" s="246">
        <v>22575</v>
      </c>
      <c r="V24" s="189">
        <v>22447</v>
      </c>
      <c r="W24" s="184">
        <f t="shared" si="20"/>
        <v>45022</v>
      </c>
      <c r="X24" s="246">
        <v>61</v>
      </c>
      <c r="Y24" s="189">
        <v>58</v>
      </c>
      <c r="Z24" s="184">
        <f t="shared" si="21"/>
        <v>119</v>
      </c>
      <c r="AA24" s="24">
        <f t="shared" si="22"/>
        <v>77252</v>
      </c>
      <c r="AB24" s="24">
        <f t="shared" si="22"/>
        <v>74041</v>
      </c>
      <c r="AC24" s="39">
        <f t="shared" si="22"/>
        <v>151293</v>
      </c>
    </row>
    <row r="25" spans="1:29" ht="15" customHeight="1">
      <c r="A25" s="351" t="s">
        <v>370</v>
      </c>
      <c r="B25" s="246">
        <v>37639</v>
      </c>
      <c r="C25" s="189">
        <v>35233</v>
      </c>
      <c r="D25" s="184">
        <f t="shared" si="15"/>
        <v>72872</v>
      </c>
      <c r="E25" s="246">
        <v>253</v>
      </c>
      <c r="F25" s="189">
        <v>225</v>
      </c>
      <c r="G25" s="184">
        <f t="shared" si="16"/>
        <v>478</v>
      </c>
      <c r="H25" s="246">
        <v>555</v>
      </c>
      <c r="I25" s="189">
        <v>653</v>
      </c>
      <c r="J25" s="184">
        <f t="shared" si="17"/>
        <v>1208</v>
      </c>
      <c r="K25" s="246">
        <v>1</v>
      </c>
      <c r="L25" s="189">
        <v>5</v>
      </c>
      <c r="M25" s="184">
        <f t="shared" si="18"/>
        <v>6</v>
      </c>
      <c r="N25" s="304" t="s">
        <v>370</v>
      </c>
      <c r="O25" s="189">
        <v>1</v>
      </c>
      <c r="P25" s="373" t="s">
        <v>1127</v>
      </c>
      <c r="Q25" s="184">
        <f t="shared" si="19"/>
        <v>1</v>
      </c>
      <c r="R25" s="444" t="s">
        <v>1127</v>
      </c>
      <c r="S25" s="373" t="s">
        <v>1127</v>
      </c>
      <c r="T25" s="417" t="s">
        <v>1127</v>
      </c>
      <c r="U25" s="246">
        <v>10273</v>
      </c>
      <c r="V25" s="189">
        <v>10203</v>
      </c>
      <c r="W25" s="184">
        <f t="shared" si="20"/>
        <v>20476</v>
      </c>
      <c r="X25" s="246">
        <v>37</v>
      </c>
      <c r="Y25" s="189">
        <v>50</v>
      </c>
      <c r="Z25" s="184">
        <f t="shared" si="21"/>
        <v>87</v>
      </c>
      <c r="AA25" s="24">
        <f t="shared" si="22"/>
        <v>48759</v>
      </c>
      <c r="AB25" s="24">
        <f t="shared" si="22"/>
        <v>46369</v>
      </c>
      <c r="AC25" s="39">
        <f t="shared" si="22"/>
        <v>95128</v>
      </c>
    </row>
    <row r="26" spans="1:29" ht="15" customHeight="1">
      <c r="A26" s="350" t="s">
        <v>371</v>
      </c>
      <c r="B26" s="64">
        <f t="shared" ref="B26:M26" si="23">SUM(B27:B34)</f>
        <v>433482</v>
      </c>
      <c r="C26" s="275">
        <f t="shared" si="23"/>
        <v>414162</v>
      </c>
      <c r="D26" s="44">
        <f t="shared" si="23"/>
        <v>847644</v>
      </c>
      <c r="E26" s="64">
        <f t="shared" si="23"/>
        <v>70685</v>
      </c>
      <c r="F26" s="275">
        <f t="shared" si="23"/>
        <v>65958</v>
      </c>
      <c r="G26" s="44">
        <f t="shared" si="23"/>
        <v>136643</v>
      </c>
      <c r="H26" s="64">
        <f t="shared" si="23"/>
        <v>54</v>
      </c>
      <c r="I26" s="275">
        <f t="shared" si="23"/>
        <v>52</v>
      </c>
      <c r="J26" s="44">
        <f t="shared" si="23"/>
        <v>106</v>
      </c>
      <c r="K26" s="64">
        <f t="shared" si="23"/>
        <v>10</v>
      </c>
      <c r="L26" s="275">
        <f t="shared" si="23"/>
        <v>7</v>
      </c>
      <c r="M26" s="44">
        <f t="shared" si="23"/>
        <v>17</v>
      </c>
      <c r="N26" s="360" t="s">
        <v>371</v>
      </c>
      <c r="O26" s="275">
        <f t="shared" ref="O26:AC26" si="24">SUM(O27:O34)</f>
        <v>17</v>
      </c>
      <c r="P26" s="275">
        <f t="shared" si="24"/>
        <v>10</v>
      </c>
      <c r="Q26" s="44">
        <f t="shared" si="24"/>
        <v>27</v>
      </c>
      <c r="R26" s="64">
        <f t="shared" si="24"/>
        <v>36</v>
      </c>
      <c r="S26" s="275">
        <f t="shared" si="24"/>
        <v>29</v>
      </c>
      <c r="T26" s="44">
        <f t="shared" si="24"/>
        <v>65</v>
      </c>
      <c r="U26" s="64">
        <f t="shared" si="24"/>
        <v>5803</v>
      </c>
      <c r="V26" s="275">
        <f t="shared" si="24"/>
        <v>5573</v>
      </c>
      <c r="W26" s="44">
        <f t="shared" si="24"/>
        <v>11376</v>
      </c>
      <c r="X26" s="64">
        <f t="shared" si="24"/>
        <v>237</v>
      </c>
      <c r="Y26" s="275">
        <f t="shared" si="24"/>
        <v>233</v>
      </c>
      <c r="Z26" s="44">
        <f t="shared" si="24"/>
        <v>470</v>
      </c>
      <c r="AA26" s="275">
        <f t="shared" si="24"/>
        <v>510324</v>
      </c>
      <c r="AB26" s="275">
        <f t="shared" si="24"/>
        <v>486024</v>
      </c>
      <c r="AC26" s="44">
        <f t="shared" si="24"/>
        <v>996348</v>
      </c>
    </row>
    <row r="27" spans="1:29" ht="15" customHeight="1">
      <c r="A27" s="351" t="s">
        <v>350</v>
      </c>
      <c r="B27" s="246">
        <v>56714</v>
      </c>
      <c r="C27" s="189">
        <v>54051</v>
      </c>
      <c r="D27" s="184">
        <f t="shared" ref="D27:D34" si="25">SUM(B27:C27)</f>
        <v>110765</v>
      </c>
      <c r="E27" s="246">
        <v>11766</v>
      </c>
      <c r="F27" s="189">
        <v>10980</v>
      </c>
      <c r="G27" s="184">
        <f t="shared" ref="G27:G34" si="26">SUM(E27:F27)</f>
        <v>22746</v>
      </c>
      <c r="H27" s="246">
        <v>21</v>
      </c>
      <c r="I27" s="189">
        <v>24</v>
      </c>
      <c r="J27" s="184">
        <f t="shared" ref="J27:J34" si="27">SUM(H27:I27)</f>
        <v>45</v>
      </c>
      <c r="K27" s="444" t="s">
        <v>1127</v>
      </c>
      <c r="L27" s="373" t="s">
        <v>1127</v>
      </c>
      <c r="M27" s="417" t="s">
        <v>1127</v>
      </c>
      <c r="N27" s="304" t="s">
        <v>350</v>
      </c>
      <c r="O27" s="189">
        <v>2</v>
      </c>
      <c r="P27" s="373" t="s">
        <v>1127</v>
      </c>
      <c r="Q27" s="184">
        <f t="shared" ref="Q27:Q34" si="28">SUM(O27:P27)</f>
        <v>2</v>
      </c>
      <c r="R27" s="444" t="s">
        <v>1127</v>
      </c>
      <c r="S27" s="373" t="s">
        <v>1127</v>
      </c>
      <c r="T27" s="417" t="s">
        <v>1127</v>
      </c>
      <c r="U27" s="246">
        <v>2688</v>
      </c>
      <c r="V27" s="189">
        <v>2502</v>
      </c>
      <c r="W27" s="184">
        <f t="shared" ref="W27:W34" si="29">SUM(U27:V27)</f>
        <v>5190</v>
      </c>
      <c r="X27" s="246">
        <v>9</v>
      </c>
      <c r="Y27" s="189">
        <v>11</v>
      </c>
      <c r="Z27" s="184">
        <f t="shared" ref="Z27:Z34" si="30">SUM(X27:Y27)</f>
        <v>20</v>
      </c>
      <c r="AA27" s="24">
        <f t="shared" ref="AA27:AC34" si="31">SUM(B27,E27,H27,K27,O27,R27,U27,X27)</f>
        <v>71200</v>
      </c>
      <c r="AB27" s="24">
        <f t="shared" si="31"/>
        <v>67568</v>
      </c>
      <c r="AC27" s="39">
        <f t="shared" si="31"/>
        <v>138768</v>
      </c>
    </row>
    <row r="28" spans="1:29" ht="15" customHeight="1">
      <c r="A28" s="351" t="s">
        <v>356</v>
      </c>
      <c r="B28" s="246">
        <v>29789</v>
      </c>
      <c r="C28" s="189">
        <v>29399</v>
      </c>
      <c r="D28" s="184">
        <f t="shared" si="25"/>
        <v>59188</v>
      </c>
      <c r="E28" s="246">
        <v>1346</v>
      </c>
      <c r="F28" s="189">
        <v>1246</v>
      </c>
      <c r="G28" s="184">
        <f t="shared" si="26"/>
        <v>2592</v>
      </c>
      <c r="H28" s="246">
        <v>12</v>
      </c>
      <c r="I28" s="189">
        <v>9</v>
      </c>
      <c r="J28" s="184">
        <f t="shared" si="27"/>
        <v>21</v>
      </c>
      <c r="K28" s="444" t="s">
        <v>1127</v>
      </c>
      <c r="L28" s="373" t="s">
        <v>1127</v>
      </c>
      <c r="M28" s="417" t="s">
        <v>1127</v>
      </c>
      <c r="N28" s="304" t="s">
        <v>356</v>
      </c>
      <c r="O28" s="189">
        <v>2</v>
      </c>
      <c r="P28" s="373" t="s">
        <v>1127</v>
      </c>
      <c r="Q28" s="184">
        <f t="shared" si="28"/>
        <v>2</v>
      </c>
      <c r="R28" s="246">
        <v>35</v>
      </c>
      <c r="S28" s="189">
        <v>29</v>
      </c>
      <c r="T28" s="184">
        <f>SUM(R28:S28)</f>
        <v>64</v>
      </c>
      <c r="U28" s="246">
        <v>28</v>
      </c>
      <c r="V28" s="189">
        <v>23</v>
      </c>
      <c r="W28" s="184">
        <f t="shared" si="29"/>
        <v>51</v>
      </c>
      <c r="X28" s="246">
        <v>11</v>
      </c>
      <c r="Y28" s="189">
        <v>18</v>
      </c>
      <c r="Z28" s="184">
        <f t="shared" si="30"/>
        <v>29</v>
      </c>
      <c r="AA28" s="24">
        <f t="shared" si="31"/>
        <v>31223</v>
      </c>
      <c r="AB28" s="24">
        <f t="shared" si="31"/>
        <v>30724</v>
      </c>
      <c r="AC28" s="39">
        <f t="shared" si="31"/>
        <v>61947</v>
      </c>
    </row>
    <row r="29" spans="1:29" ht="15" customHeight="1">
      <c r="A29" s="351" t="s">
        <v>351</v>
      </c>
      <c r="B29" s="246">
        <v>61997</v>
      </c>
      <c r="C29" s="189">
        <v>59445</v>
      </c>
      <c r="D29" s="184">
        <f t="shared" si="25"/>
        <v>121442</v>
      </c>
      <c r="E29" s="246">
        <v>10203</v>
      </c>
      <c r="F29" s="189">
        <v>9527</v>
      </c>
      <c r="G29" s="184">
        <f t="shared" si="26"/>
        <v>19730</v>
      </c>
      <c r="H29" s="246">
        <v>3</v>
      </c>
      <c r="I29" s="189">
        <v>3</v>
      </c>
      <c r="J29" s="184">
        <f t="shared" si="27"/>
        <v>6</v>
      </c>
      <c r="K29" s="246">
        <v>1</v>
      </c>
      <c r="L29" s="189">
        <v>2</v>
      </c>
      <c r="M29" s="184">
        <f>SUM(K29:L29)</f>
        <v>3</v>
      </c>
      <c r="N29" s="304" t="s">
        <v>351</v>
      </c>
      <c r="O29" s="189">
        <v>1</v>
      </c>
      <c r="P29" s="189">
        <v>1</v>
      </c>
      <c r="Q29" s="184">
        <f t="shared" si="28"/>
        <v>2</v>
      </c>
      <c r="R29" s="444" t="s">
        <v>1127</v>
      </c>
      <c r="S29" s="373" t="s">
        <v>1127</v>
      </c>
      <c r="T29" s="417" t="s">
        <v>1127</v>
      </c>
      <c r="U29" s="246">
        <v>106</v>
      </c>
      <c r="V29" s="189">
        <v>137</v>
      </c>
      <c r="W29" s="184">
        <f t="shared" si="29"/>
        <v>243</v>
      </c>
      <c r="X29" s="246">
        <v>37</v>
      </c>
      <c r="Y29" s="189">
        <v>34</v>
      </c>
      <c r="Z29" s="184">
        <f t="shared" si="30"/>
        <v>71</v>
      </c>
      <c r="AA29" s="24">
        <f t="shared" si="31"/>
        <v>72348</v>
      </c>
      <c r="AB29" s="24">
        <f t="shared" si="31"/>
        <v>69149</v>
      </c>
      <c r="AC29" s="39">
        <f t="shared" si="31"/>
        <v>141497</v>
      </c>
    </row>
    <row r="30" spans="1:29" ht="15" customHeight="1">
      <c r="A30" s="351" t="s">
        <v>352</v>
      </c>
      <c r="B30" s="246">
        <v>71540</v>
      </c>
      <c r="C30" s="189">
        <v>67432</v>
      </c>
      <c r="D30" s="184">
        <f t="shared" si="25"/>
        <v>138972</v>
      </c>
      <c r="E30" s="246">
        <v>14285</v>
      </c>
      <c r="F30" s="189">
        <v>13175</v>
      </c>
      <c r="G30" s="184">
        <f t="shared" si="26"/>
        <v>27460</v>
      </c>
      <c r="H30" s="246">
        <v>1</v>
      </c>
      <c r="I30" s="373" t="s">
        <v>1127</v>
      </c>
      <c r="J30" s="184">
        <f t="shared" si="27"/>
        <v>1</v>
      </c>
      <c r="K30" s="444" t="s">
        <v>1127</v>
      </c>
      <c r="L30" s="189">
        <v>1</v>
      </c>
      <c r="M30" s="184">
        <f>SUM(K30:L30)</f>
        <v>1</v>
      </c>
      <c r="N30" s="304" t="s">
        <v>352</v>
      </c>
      <c r="O30" s="189">
        <v>5</v>
      </c>
      <c r="P30" s="189">
        <v>1</v>
      </c>
      <c r="Q30" s="184">
        <f t="shared" si="28"/>
        <v>6</v>
      </c>
      <c r="R30" s="444" t="s">
        <v>1127</v>
      </c>
      <c r="S30" s="373" t="s">
        <v>1127</v>
      </c>
      <c r="T30" s="417" t="s">
        <v>1127</v>
      </c>
      <c r="U30" s="246">
        <v>473</v>
      </c>
      <c r="V30" s="189">
        <v>461</v>
      </c>
      <c r="W30" s="184">
        <f t="shared" si="29"/>
        <v>934</v>
      </c>
      <c r="X30" s="246">
        <v>81</v>
      </c>
      <c r="Y30" s="189">
        <v>92</v>
      </c>
      <c r="Z30" s="184">
        <f t="shared" si="30"/>
        <v>173</v>
      </c>
      <c r="AA30" s="24">
        <f t="shared" si="31"/>
        <v>86385</v>
      </c>
      <c r="AB30" s="24">
        <f t="shared" si="31"/>
        <v>81162</v>
      </c>
      <c r="AC30" s="39">
        <f t="shared" si="31"/>
        <v>167547</v>
      </c>
    </row>
    <row r="31" spans="1:29" ht="15" customHeight="1">
      <c r="A31" s="351" t="s">
        <v>353</v>
      </c>
      <c r="B31" s="246">
        <v>63796</v>
      </c>
      <c r="C31" s="189">
        <v>60548</v>
      </c>
      <c r="D31" s="184">
        <f t="shared" si="25"/>
        <v>124344</v>
      </c>
      <c r="E31" s="246">
        <v>8798</v>
      </c>
      <c r="F31" s="189">
        <v>7925</v>
      </c>
      <c r="G31" s="184">
        <f t="shared" si="26"/>
        <v>16723</v>
      </c>
      <c r="H31" s="246">
        <v>2</v>
      </c>
      <c r="I31" s="189">
        <v>2</v>
      </c>
      <c r="J31" s="184">
        <f t="shared" si="27"/>
        <v>4</v>
      </c>
      <c r="K31" s="246">
        <v>1</v>
      </c>
      <c r="L31" s="373" t="s">
        <v>1127</v>
      </c>
      <c r="M31" s="184">
        <f>SUM(K31:L31)</f>
        <v>1</v>
      </c>
      <c r="N31" s="304" t="s">
        <v>353</v>
      </c>
      <c r="O31" s="373" t="s">
        <v>1127</v>
      </c>
      <c r="P31" s="189">
        <v>2</v>
      </c>
      <c r="Q31" s="184">
        <f t="shared" si="28"/>
        <v>2</v>
      </c>
      <c r="R31" s="444" t="s">
        <v>1127</v>
      </c>
      <c r="S31" s="373" t="s">
        <v>1127</v>
      </c>
      <c r="T31" s="417" t="s">
        <v>1127</v>
      </c>
      <c r="U31" s="246">
        <v>588</v>
      </c>
      <c r="V31" s="189">
        <v>598</v>
      </c>
      <c r="W31" s="184">
        <f t="shared" si="29"/>
        <v>1186</v>
      </c>
      <c r="X31" s="246">
        <v>36</v>
      </c>
      <c r="Y31" s="189">
        <v>32</v>
      </c>
      <c r="Z31" s="184">
        <f t="shared" si="30"/>
        <v>68</v>
      </c>
      <c r="AA31" s="24">
        <f t="shared" si="31"/>
        <v>73221</v>
      </c>
      <c r="AB31" s="24">
        <f t="shared" si="31"/>
        <v>69107</v>
      </c>
      <c r="AC31" s="39">
        <f t="shared" si="31"/>
        <v>142328</v>
      </c>
    </row>
    <row r="32" spans="1:29" ht="15" customHeight="1">
      <c r="A32" s="351" t="s">
        <v>362</v>
      </c>
      <c r="B32" s="246">
        <v>13728</v>
      </c>
      <c r="C32" s="189">
        <v>13153</v>
      </c>
      <c r="D32" s="184">
        <f t="shared" si="25"/>
        <v>26881</v>
      </c>
      <c r="E32" s="246">
        <v>211</v>
      </c>
      <c r="F32" s="189">
        <v>162</v>
      </c>
      <c r="G32" s="184">
        <f t="shared" si="26"/>
        <v>373</v>
      </c>
      <c r="H32" s="246">
        <v>11</v>
      </c>
      <c r="I32" s="189">
        <v>11</v>
      </c>
      <c r="J32" s="184">
        <f t="shared" si="27"/>
        <v>22</v>
      </c>
      <c r="K32" s="444" t="s">
        <v>1127</v>
      </c>
      <c r="L32" s="373" t="s">
        <v>1127</v>
      </c>
      <c r="M32" s="417" t="s">
        <v>1127</v>
      </c>
      <c r="N32" s="304" t="s">
        <v>362</v>
      </c>
      <c r="O32" s="189">
        <v>1</v>
      </c>
      <c r="P32" s="373" t="s">
        <v>1127</v>
      </c>
      <c r="Q32" s="184">
        <f t="shared" si="28"/>
        <v>1</v>
      </c>
      <c r="R32" s="444" t="s">
        <v>1127</v>
      </c>
      <c r="S32" s="373" t="s">
        <v>1127</v>
      </c>
      <c r="T32" s="417" t="s">
        <v>1127</v>
      </c>
      <c r="U32" s="246">
        <v>74</v>
      </c>
      <c r="V32" s="189">
        <v>2</v>
      </c>
      <c r="W32" s="184">
        <f t="shared" si="29"/>
        <v>76</v>
      </c>
      <c r="X32" s="246">
        <v>1</v>
      </c>
      <c r="Y32" s="373" t="s">
        <v>1127</v>
      </c>
      <c r="Z32" s="184">
        <f t="shared" si="30"/>
        <v>1</v>
      </c>
      <c r="AA32" s="24">
        <f t="shared" si="31"/>
        <v>14026</v>
      </c>
      <c r="AB32" s="24">
        <f t="shared" si="31"/>
        <v>13328</v>
      </c>
      <c r="AC32" s="39">
        <f t="shared" si="31"/>
        <v>27354</v>
      </c>
    </row>
    <row r="33" spans="1:29" ht="15" customHeight="1">
      <c r="A33" s="351" t="s">
        <v>354</v>
      </c>
      <c r="B33" s="246">
        <v>71229</v>
      </c>
      <c r="C33" s="189">
        <v>68801</v>
      </c>
      <c r="D33" s="184">
        <f t="shared" si="25"/>
        <v>140030</v>
      </c>
      <c r="E33" s="246">
        <v>10539</v>
      </c>
      <c r="F33" s="189">
        <v>9993</v>
      </c>
      <c r="G33" s="184">
        <f t="shared" si="26"/>
        <v>20532</v>
      </c>
      <c r="H33" s="246">
        <v>3</v>
      </c>
      <c r="I33" s="189">
        <v>2</v>
      </c>
      <c r="J33" s="184">
        <f t="shared" si="27"/>
        <v>5</v>
      </c>
      <c r="K33" s="246">
        <v>8</v>
      </c>
      <c r="L33" s="189">
        <v>4</v>
      </c>
      <c r="M33" s="184">
        <f>SUM(K33:L33)</f>
        <v>12</v>
      </c>
      <c r="N33" s="304" t="s">
        <v>354</v>
      </c>
      <c r="O33" s="189">
        <v>2</v>
      </c>
      <c r="P33" s="189">
        <v>3</v>
      </c>
      <c r="Q33" s="184">
        <f t="shared" si="28"/>
        <v>5</v>
      </c>
      <c r="R33" s="246">
        <v>1</v>
      </c>
      <c r="S33" s="373" t="s">
        <v>1127</v>
      </c>
      <c r="T33" s="184">
        <f>SUM(R33:S33)</f>
        <v>1</v>
      </c>
      <c r="U33" s="246">
        <v>1686</v>
      </c>
      <c r="V33" s="189">
        <v>1704</v>
      </c>
      <c r="W33" s="184">
        <f t="shared" si="29"/>
        <v>3390</v>
      </c>
      <c r="X33" s="246">
        <v>49</v>
      </c>
      <c r="Y33" s="189">
        <v>36</v>
      </c>
      <c r="Z33" s="184">
        <f t="shared" si="30"/>
        <v>85</v>
      </c>
      <c r="AA33" s="24">
        <f t="shared" si="31"/>
        <v>83517</v>
      </c>
      <c r="AB33" s="24">
        <f t="shared" si="31"/>
        <v>80543</v>
      </c>
      <c r="AC33" s="39">
        <f t="shared" si="31"/>
        <v>164060</v>
      </c>
    </row>
    <row r="34" spans="1:29" ht="15" customHeight="1">
      <c r="A34" s="352" t="s">
        <v>355</v>
      </c>
      <c r="B34" s="247">
        <v>64689</v>
      </c>
      <c r="C34" s="227">
        <v>61333</v>
      </c>
      <c r="D34" s="194">
        <f t="shared" si="25"/>
        <v>126022</v>
      </c>
      <c r="E34" s="247">
        <v>13537</v>
      </c>
      <c r="F34" s="227">
        <v>12950</v>
      </c>
      <c r="G34" s="194">
        <f t="shared" si="26"/>
        <v>26487</v>
      </c>
      <c r="H34" s="247">
        <v>1</v>
      </c>
      <c r="I34" s="227">
        <v>1</v>
      </c>
      <c r="J34" s="194">
        <f t="shared" si="27"/>
        <v>2</v>
      </c>
      <c r="K34" s="439" t="s">
        <v>1127</v>
      </c>
      <c r="L34" s="583" t="s">
        <v>1127</v>
      </c>
      <c r="M34" s="452" t="s">
        <v>1127</v>
      </c>
      <c r="N34" s="335" t="s">
        <v>355</v>
      </c>
      <c r="O34" s="227">
        <v>4</v>
      </c>
      <c r="P34" s="227">
        <v>3</v>
      </c>
      <c r="Q34" s="194">
        <f t="shared" si="28"/>
        <v>7</v>
      </c>
      <c r="R34" s="439" t="s">
        <v>1127</v>
      </c>
      <c r="S34" s="583" t="s">
        <v>1127</v>
      </c>
      <c r="T34" s="452" t="s">
        <v>1127</v>
      </c>
      <c r="U34" s="247">
        <v>160</v>
      </c>
      <c r="V34" s="227">
        <v>146</v>
      </c>
      <c r="W34" s="194">
        <f t="shared" si="29"/>
        <v>306</v>
      </c>
      <c r="X34" s="247">
        <v>13</v>
      </c>
      <c r="Y34" s="227">
        <v>10</v>
      </c>
      <c r="Z34" s="194">
        <f t="shared" si="30"/>
        <v>23</v>
      </c>
      <c r="AA34" s="40">
        <f t="shared" si="31"/>
        <v>78404</v>
      </c>
      <c r="AB34" s="40">
        <f t="shared" si="31"/>
        <v>74443</v>
      </c>
      <c r="AC34" s="42">
        <f t="shared" si="31"/>
        <v>152847</v>
      </c>
    </row>
    <row r="35" spans="1:29" ht="15" customHeight="1">
      <c r="A35" s="66" t="s">
        <v>75</v>
      </c>
      <c r="B35" s="66">
        <f t="shared" ref="B35:M35" si="32">SUM(B26,B17,B7)</f>
        <v>1380500</v>
      </c>
      <c r="C35" s="17">
        <f t="shared" si="32"/>
        <v>1312522</v>
      </c>
      <c r="D35" s="157">
        <f t="shared" si="32"/>
        <v>2693022</v>
      </c>
      <c r="E35" s="66">
        <f t="shared" si="32"/>
        <v>124566</v>
      </c>
      <c r="F35" s="17">
        <f t="shared" si="32"/>
        <v>115156</v>
      </c>
      <c r="G35" s="157">
        <f t="shared" si="32"/>
        <v>239722</v>
      </c>
      <c r="H35" s="66">
        <f t="shared" si="32"/>
        <v>1475</v>
      </c>
      <c r="I35" s="17">
        <f t="shared" si="32"/>
        <v>1543</v>
      </c>
      <c r="J35" s="157">
        <f t="shared" si="32"/>
        <v>3018</v>
      </c>
      <c r="K35" s="66">
        <f t="shared" si="32"/>
        <v>67</v>
      </c>
      <c r="L35" s="17">
        <f t="shared" si="32"/>
        <v>47</v>
      </c>
      <c r="M35" s="157">
        <f t="shared" si="32"/>
        <v>114</v>
      </c>
      <c r="N35" s="179" t="s">
        <v>75</v>
      </c>
      <c r="O35" s="17">
        <f t="shared" ref="O35:AC35" si="33">SUM(O26,O17,O7)</f>
        <v>67</v>
      </c>
      <c r="P35" s="17">
        <f t="shared" si="33"/>
        <v>71</v>
      </c>
      <c r="Q35" s="157">
        <f t="shared" si="33"/>
        <v>138</v>
      </c>
      <c r="R35" s="66">
        <f t="shared" si="33"/>
        <v>1779</v>
      </c>
      <c r="S35" s="17">
        <f t="shared" si="33"/>
        <v>1708</v>
      </c>
      <c r="T35" s="157">
        <f t="shared" si="33"/>
        <v>3487</v>
      </c>
      <c r="U35" s="66">
        <f t="shared" si="33"/>
        <v>126637</v>
      </c>
      <c r="V35" s="17">
        <f t="shared" si="33"/>
        <v>124764</v>
      </c>
      <c r="W35" s="157">
        <f t="shared" si="33"/>
        <v>251401</v>
      </c>
      <c r="X35" s="66">
        <f t="shared" si="33"/>
        <v>911</v>
      </c>
      <c r="Y35" s="17">
        <f t="shared" si="33"/>
        <v>882</v>
      </c>
      <c r="Z35" s="157">
        <f t="shared" si="33"/>
        <v>1793</v>
      </c>
      <c r="AA35" s="17">
        <f t="shared" si="33"/>
        <v>1636002</v>
      </c>
      <c r="AB35" s="17">
        <f t="shared" si="33"/>
        <v>1556693</v>
      </c>
      <c r="AC35" s="157">
        <f t="shared" si="33"/>
        <v>3192695</v>
      </c>
    </row>
    <row r="36" spans="1:29">
      <c r="M36" s="724" t="s">
        <v>480</v>
      </c>
      <c r="AC36" s="713" t="s">
        <v>608</v>
      </c>
    </row>
  </sheetData>
  <mergeCells count="14">
    <mergeCell ref="A1:M1"/>
    <mergeCell ref="A2:M2"/>
    <mergeCell ref="N2:AC2"/>
    <mergeCell ref="A4:A5"/>
    <mergeCell ref="B4:D4"/>
    <mergeCell ref="E4:G4"/>
    <mergeCell ref="H4:J4"/>
    <mergeCell ref="U4:W4"/>
    <mergeCell ref="X4:Z4"/>
    <mergeCell ref="K4:M4"/>
    <mergeCell ref="O4:Q4"/>
    <mergeCell ref="N4:N5"/>
    <mergeCell ref="AA4:AC4"/>
    <mergeCell ref="R4:T4"/>
  </mergeCells>
  <phoneticPr fontId="0" type="noConversion"/>
  <printOptions horizontalCentered="1" verticalCentered="1"/>
  <pageMargins left="0.14000000000000001" right="0.14000000000000001" top="0.5" bottom="0.5" header="0.5" footer="0.5"/>
  <pageSetup paperSize="9" orientation="landscape" r:id="rId1"/>
  <headerFooter alignWithMargins="0"/>
  <colBreaks count="1" manualBreakCount="1">
    <brk id="13" max="1048575" man="1"/>
  </colBreaks>
</worksheet>
</file>

<file path=xl/worksheets/sheet21.xml><?xml version="1.0" encoding="utf-8"?>
<worksheet xmlns="http://schemas.openxmlformats.org/spreadsheetml/2006/main" xmlns:r="http://schemas.openxmlformats.org/officeDocument/2006/relationships">
  <sheetPr codeName="Sheet20" enableFormatConditionsCalculation="0"/>
  <dimension ref="A1:J16"/>
  <sheetViews>
    <sheetView workbookViewId="0">
      <selection activeCell="M30" sqref="M30"/>
    </sheetView>
  </sheetViews>
  <sheetFormatPr defaultRowHeight="12.75"/>
  <cols>
    <col min="1" max="1" width="22.42578125" style="172" customWidth="1"/>
    <col min="2" max="10" width="12.5703125" style="172" customWidth="1"/>
    <col min="11" max="16384" width="9.140625" style="172"/>
  </cols>
  <sheetData>
    <row r="1" spans="1:10" ht="12" customHeight="1">
      <c r="A1" s="1181" t="s">
        <v>1594</v>
      </c>
      <c r="B1" s="1181"/>
      <c r="C1" s="1181"/>
      <c r="D1" s="1181"/>
      <c r="E1" s="1181"/>
      <c r="F1" s="1181"/>
      <c r="G1" s="1181"/>
      <c r="H1" s="1181"/>
      <c r="I1" s="1181"/>
      <c r="J1" s="1181"/>
    </row>
    <row r="2" spans="1:10" s="206" customFormat="1" ht="18.75" customHeight="1">
      <c r="A2" s="1226" t="str">
        <f>CONCATENATE("Disabled Persons by type of disability and by sex in the district of ",District!$A$1,", 2011")</f>
        <v>Disabled Persons by type of disability and by sex in the district of Bankura, 2011</v>
      </c>
      <c r="B2" s="1226"/>
      <c r="C2" s="1226"/>
      <c r="D2" s="1226"/>
      <c r="E2" s="1226"/>
      <c r="F2" s="1226"/>
      <c r="G2" s="1226"/>
      <c r="H2" s="1226"/>
      <c r="I2" s="1226"/>
      <c r="J2" s="1226"/>
    </row>
    <row r="3" spans="1:10" ht="14.25" customHeight="1">
      <c r="A3" s="259"/>
      <c r="B3" s="260"/>
      <c r="C3" s="260"/>
      <c r="D3" s="260"/>
      <c r="E3" s="260"/>
      <c r="F3" s="260"/>
      <c r="G3" s="260"/>
      <c r="H3" s="260"/>
      <c r="I3" s="260"/>
      <c r="J3" s="114" t="s">
        <v>452</v>
      </c>
    </row>
    <row r="4" spans="1:10" ht="22.5" customHeight="1">
      <c r="A4" s="1194" t="s">
        <v>609</v>
      </c>
      <c r="B4" s="1191" t="s">
        <v>527</v>
      </c>
      <c r="C4" s="1191"/>
      <c r="D4" s="1192"/>
      <c r="E4" s="1193" t="s">
        <v>528</v>
      </c>
      <c r="F4" s="1191"/>
      <c r="G4" s="1192"/>
      <c r="H4" s="1193" t="s">
        <v>581</v>
      </c>
      <c r="I4" s="1191"/>
      <c r="J4" s="1192"/>
    </row>
    <row r="5" spans="1:10" ht="22.5" customHeight="1">
      <c r="A5" s="1195"/>
      <c r="B5" s="24" t="s">
        <v>531</v>
      </c>
      <c r="C5" s="58" t="s">
        <v>532</v>
      </c>
      <c r="D5" s="39" t="s">
        <v>439</v>
      </c>
      <c r="E5" s="29" t="s">
        <v>531</v>
      </c>
      <c r="F5" s="58" t="s">
        <v>532</v>
      </c>
      <c r="G5" s="39" t="s">
        <v>439</v>
      </c>
      <c r="H5" s="29" t="s">
        <v>531</v>
      </c>
      <c r="I5" s="58" t="s">
        <v>532</v>
      </c>
      <c r="J5" s="39" t="s">
        <v>439</v>
      </c>
    </row>
    <row r="6" spans="1:10" ht="24" customHeight="1">
      <c r="A6" s="297" t="s">
        <v>418</v>
      </c>
      <c r="B6" s="222" t="s">
        <v>419</v>
      </c>
      <c r="C6" s="213" t="s">
        <v>420</v>
      </c>
      <c r="D6" s="214" t="s">
        <v>421</v>
      </c>
      <c r="E6" s="221" t="s">
        <v>422</v>
      </c>
      <c r="F6" s="213" t="s">
        <v>423</v>
      </c>
      <c r="G6" s="214" t="s">
        <v>424</v>
      </c>
      <c r="H6" s="221" t="s">
        <v>440</v>
      </c>
      <c r="I6" s="213" t="s">
        <v>441</v>
      </c>
      <c r="J6" s="214" t="s">
        <v>442</v>
      </c>
    </row>
    <row r="7" spans="1:10" ht="36" customHeight="1">
      <c r="A7" s="33" t="s">
        <v>504</v>
      </c>
      <c r="B7" s="329">
        <v>6482</v>
      </c>
      <c r="C7" s="280">
        <v>5731</v>
      </c>
      <c r="D7" s="39">
        <f t="shared" ref="D7:D14" si="0">B7+C7</f>
        <v>12213</v>
      </c>
      <c r="E7" s="298">
        <v>471</v>
      </c>
      <c r="F7" s="280">
        <v>438</v>
      </c>
      <c r="G7" s="39">
        <f t="shared" ref="G7:G14" si="1">E7+F7</f>
        <v>909</v>
      </c>
      <c r="H7" s="246">
        <f t="shared" ref="H7:I14" si="2">B7+E7</f>
        <v>6953</v>
      </c>
      <c r="I7" s="246">
        <f t="shared" si="2"/>
        <v>6169</v>
      </c>
      <c r="J7" s="58">
        <f t="shared" ref="J7:J14" si="3">H7+I7</f>
        <v>13122</v>
      </c>
    </row>
    <row r="8" spans="1:10" ht="36" customHeight="1">
      <c r="A8" s="33" t="s">
        <v>505</v>
      </c>
      <c r="B8" s="329">
        <v>2758</v>
      </c>
      <c r="C8" s="280">
        <v>2125</v>
      </c>
      <c r="D8" s="39">
        <f t="shared" si="0"/>
        <v>4883</v>
      </c>
      <c r="E8" s="298">
        <v>270</v>
      </c>
      <c r="F8" s="280">
        <v>250</v>
      </c>
      <c r="G8" s="39">
        <f t="shared" si="1"/>
        <v>520</v>
      </c>
      <c r="H8" s="246">
        <f t="shared" si="2"/>
        <v>3028</v>
      </c>
      <c r="I8" s="246">
        <f t="shared" si="2"/>
        <v>2375</v>
      </c>
      <c r="J8" s="33">
        <f t="shared" si="3"/>
        <v>5403</v>
      </c>
    </row>
    <row r="9" spans="1:10" ht="36" customHeight="1">
      <c r="A9" s="33" t="s">
        <v>506</v>
      </c>
      <c r="B9" s="329">
        <v>4804</v>
      </c>
      <c r="C9" s="280">
        <v>4353</v>
      </c>
      <c r="D9" s="39">
        <f t="shared" si="0"/>
        <v>9157</v>
      </c>
      <c r="E9" s="298">
        <v>589</v>
      </c>
      <c r="F9" s="280">
        <v>565</v>
      </c>
      <c r="G9" s="39">
        <f t="shared" si="1"/>
        <v>1154</v>
      </c>
      <c r="H9" s="246">
        <f t="shared" si="2"/>
        <v>5393</v>
      </c>
      <c r="I9" s="246">
        <f t="shared" si="2"/>
        <v>4918</v>
      </c>
      <c r="J9" s="33">
        <f t="shared" si="3"/>
        <v>10311</v>
      </c>
    </row>
    <row r="10" spans="1:10" ht="36" customHeight="1">
      <c r="A10" s="33" t="s">
        <v>507</v>
      </c>
      <c r="B10" s="329">
        <v>9342</v>
      </c>
      <c r="C10" s="280">
        <v>5651</v>
      </c>
      <c r="D10" s="39">
        <f t="shared" si="0"/>
        <v>14993</v>
      </c>
      <c r="E10" s="298">
        <v>594</v>
      </c>
      <c r="F10" s="280">
        <v>348</v>
      </c>
      <c r="G10" s="39">
        <f t="shared" si="1"/>
        <v>942</v>
      </c>
      <c r="H10" s="246">
        <f t="shared" si="2"/>
        <v>9936</v>
      </c>
      <c r="I10" s="246">
        <f t="shared" si="2"/>
        <v>5999</v>
      </c>
      <c r="J10" s="33">
        <f t="shared" si="3"/>
        <v>15935</v>
      </c>
    </row>
    <row r="11" spans="1:10" ht="36" customHeight="1">
      <c r="A11" s="33" t="s">
        <v>406</v>
      </c>
      <c r="B11" s="329">
        <v>1977</v>
      </c>
      <c r="C11" s="280">
        <v>1557</v>
      </c>
      <c r="D11" s="39">
        <f t="shared" si="0"/>
        <v>3534</v>
      </c>
      <c r="E11" s="298">
        <v>143</v>
      </c>
      <c r="F11" s="280">
        <v>101</v>
      </c>
      <c r="G11" s="39">
        <f t="shared" si="1"/>
        <v>244</v>
      </c>
      <c r="H11" s="246">
        <f t="shared" si="2"/>
        <v>2120</v>
      </c>
      <c r="I11" s="246">
        <f t="shared" si="2"/>
        <v>1658</v>
      </c>
      <c r="J11" s="33">
        <f t="shared" si="3"/>
        <v>3778</v>
      </c>
    </row>
    <row r="12" spans="1:10" ht="36" customHeight="1">
      <c r="A12" s="33" t="s">
        <v>407</v>
      </c>
      <c r="B12" s="329">
        <v>3009</v>
      </c>
      <c r="C12" s="280">
        <v>2359</v>
      </c>
      <c r="D12" s="39">
        <f t="shared" si="0"/>
        <v>5368</v>
      </c>
      <c r="E12" s="329">
        <v>221</v>
      </c>
      <c r="F12" s="280">
        <v>195</v>
      </c>
      <c r="G12" s="39">
        <f t="shared" si="1"/>
        <v>416</v>
      </c>
      <c r="H12" s="246">
        <f t="shared" si="2"/>
        <v>3230</v>
      </c>
      <c r="I12" s="246">
        <f t="shared" si="2"/>
        <v>2554</v>
      </c>
      <c r="J12" s="33">
        <f t="shared" si="3"/>
        <v>5784</v>
      </c>
    </row>
    <row r="13" spans="1:10" ht="36" customHeight="1">
      <c r="A13" s="33" t="s">
        <v>408</v>
      </c>
      <c r="B13" s="329">
        <v>6847</v>
      </c>
      <c r="C13" s="280">
        <v>5146</v>
      </c>
      <c r="D13" s="39">
        <f t="shared" si="0"/>
        <v>11993</v>
      </c>
      <c r="E13" s="329">
        <v>613</v>
      </c>
      <c r="F13" s="280">
        <v>573</v>
      </c>
      <c r="G13" s="39">
        <f t="shared" si="1"/>
        <v>1186</v>
      </c>
      <c r="H13" s="246">
        <f t="shared" si="2"/>
        <v>7460</v>
      </c>
      <c r="I13" s="246">
        <f t="shared" si="2"/>
        <v>5719</v>
      </c>
      <c r="J13" s="33">
        <f t="shared" si="3"/>
        <v>13179</v>
      </c>
    </row>
    <row r="14" spans="1:10" ht="36" customHeight="1">
      <c r="A14" s="33" t="s">
        <v>409</v>
      </c>
      <c r="B14" s="329">
        <v>5115</v>
      </c>
      <c r="C14" s="280">
        <v>4294</v>
      </c>
      <c r="D14" s="39">
        <f t="shared" si="0"/>
        <v>9409</v>
      </c>
      <c r="E14" s="329">
        <v>287</v>
      </c>
      <c r="F14" s="280">
        <v>210</v>
      </c>
      <c r="G14" s="39">
        <f t="shared" si="1"/>
        <v>497</v>
      </c>
      <c r="H14" s="246">
        <f t="shared" si="2"/>
        <v>5402</v>
      </c>
      <c r="I14" s="246">
        <f t="shared" si="2"/>
        <v>4504</v>
      </c>
      <c r="J14" s="33">
        <f t="shared" si="3"/>
        <v>9906</v>
      </c>
    </row>
    <row r="15" spans="1:10" ht="30" customHeight="1">
      <c r="A15" s="107" t="s">
        <v>581</v>
      </c>
      <c r="B15" s="208">
        <f>SUM(B7:B14)</f>
        <v>40334</v>
      </c>
      <c r="C15" s="179">
        <f t="shared" ref="C15:J15" si="4">SUM(C7:C14)</f>
        <v>31216</v>
      </c>
      <c r="D15" s="208">
        <f t="shared" si="4"/>
        <v>71550</v>
      </c>
      <c r="E15" s="179">
        <f t="shared" si="4"/>
        <v>3188</v>
      </c>
      <c r="F15" s="208">
        <f t="shared" si="4"/>
        <v>2680</v>
      </c>
      <c r="G15" s="179">
        <f t="shared" si="4"/>
        <v>5868</v>
      </c>
      <c r="H15" s="208">
        <f t="shared" si="4"/>
        <v>43522</v>
      </c>
      <c r="I15" s="179">
        <f t="shared" si="4"/>
        <v>33896</v>
      </c>
      <c r="J15" s="179">
        <f t="shared" si="4"/>
        <v>77418</v>
      </c>
    </row>
    <row r="16" spans="1:10">
      <c r="A16" s="361"/>
      <c r="B16" s="266"/>
      <c r="C16" s="266"/>
      <c r="D16" s="266"/>
      <c r="E16" s="266"/>
      <c r="F16" s="266"/>
      <c r="G16" s="1236" t="s">
        <v>1554</v>
      </c>
      <c r="H16" s="1236"/>
      <c r="I16" s="1236"/>
      <c r="J16" s="1236"/>
    </row>
  </sheetData>
  <mergeCells count="7">
    <mergeCell ref="A1:J1"/>
    <mergeCell ref="G16:J16"/>
    <mergeCell ref="A4:A5"/>
    <mergeCell ref="B4:D4"/>
    <mergeCell ref="E4:G4"/>
    <mergeCell ref="H4:J4"/>
    <mergeCell ref="A2:J2"/>
  </mergeCells>
  <phoneticPr fontId="0" type="noConversion"/>
  <printOptions horizontalCentered="1"/>
  <pageMargins left="0.1" right="0.1" top="1.04" bottom="0.1" header="1.1399999999999999" footer="0.1"/>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sheetPr codeName="Sheet22"/>
  <dimension ref="A1:P59"/>
  <sheetViews>
    <sheetView topLeftCell="B1" workbookViewId="0">
      <selection activeCell="M30" sqref="M30"/>
    </sheetView>
  </sheetViews>
  <sheetFormatPr defaultRowHeight="12.75"/>
  <cols>
    <col min="1" max="1" width="2" style="268" hidden="1" customWidth="1"/>
    <col min="2" max="2" width="18.85546875" style="268" customWidth="1"/>
    <col min="3" max="6" width="10.140625" style="268" customWidth="1"/>
    <col min="7" max="7" width="15.7109375" style="268" customWidth="1"/>
    <col min="8" max="8" width="10.140625" style="268" customWidth="1"/>
    <col min="9" max="9" width="12.85546875" style="268" customWidth="1"/>
    <col min="10" max="13" width="10.140625" style="268" customWidth="1"/>
    <col min="14" max="16384" width="9.140625" style="268"/>
  </cols>
  <sheetData>
    <row r="1" spans="2:16" ht="14.25" customHeight="1">
      <c r="B1" s="1286" t="s">
        <v>1593</v>
      </c>
      <c r="C1" s="1286"/>
      <c r="D1" s="1286"/>
      <c r="E1" s="1286"/>
      <c r="F1" s="1286"/>
      <c r="G1" s="1286"/>
      <c r="H1" s="1286"/>
      <c r="I1" s="1286"/>
      <c r="J1" s="1286"/>
      <c r="K1" s="1286"/>
      <c r="L1" s="1286"/>
      <c r="M1" s="1286"/>
    </row>
    <row r="2" spans="2:16" ht="18" customHeight="1">
      <c r="B2" s="1293" t="str">
        <f>CONCATENATE("Medical Facilities available in the district of ",District!$A$1)</f>
        <v>Medical Facilities available in the district of Bankura</v>
      </c>
      <c r="C2" s="1293"/>
      <c r="D2" s="1293"/>
      <c r="E2" s="1293"/>
      <c r="F2" s="1293"/>
      <c r="G2" s="1293"/>
      <c r="H2" s="1293"/>
      <c r="I2" s="1293"/>
      <c r="J2" s="1293"/>
      <c r="K2" s="1293"/>
      <c r="L2" s="1293"/>
      <c r="M2" s="1293"/>
      <c r="N2" s="67"/>
      <c r="O2" s="67"/>
      <c r="P2" s="67"/>
    </row>
    <row r="3" spans="2:16" ht="12" customHeight="1">
      <c r="M3" s="362" t="s">
        <v>452</v>
      </c>
    </row>
    <row r="4" spans="2:16" ht="15" customHeight="1">
      <c r="B4" s="1294" t="s">
        <v>304</v>
      </c>
      <c r="C4" s="1288" t="s">
        <v>1244</v>
      </c>
      <c r="D4" s="1289"/>
      <c r="E4" s="1289"/>
      <c r="F4" s="1289"/>
      <c r="G4" s="1289"/>
      <c r="H4" s="1289"/>
      <c r="I4" s="1289"/>
      <c r="J4" s="1289"/>
      <c r="K4" s="1290"/>
      <c r="L4" s="1280" t="s">
        <v>398</v>
      </c>
      <c r="M4" s="1280" t="s">
        <v>1009</v>
      </c>
    </row>
    <row r="5" spans="2:16" ht="15" customHeight="1">
      <c r="B5" s="1295"/>
      <c r="C5" s="1282" t="s">
        <v>113</v>
      </c>
      <c r="D5" s="1282"/>
      <c r="E5" s="1282"/>
      <c r="F5" s="1282"/>
      <c r="G5" s="1280" t="s">
        <v>1315</v>
      </c>
      <c r="H5" s="1280" t="s">
        <v>1462</v>
      </c>
      <c r="I5" s="1280" t="s">
        <v>1316</v>
      </c>
      <c r="J5" s="1280" t="s">
        <v>794</v>
      </c>
      <c r="K5" s="1291" t="s">
        <v>439</v>
      </c>
      <c r="L5" s="1287"/>
      <c r="M5" s="1287"/>
    </row>
    <row r="6" spans="2:16" ht="68.25" customHeight="1">
      <c r="B6" s="1296"/>
      <c r="C6" s="387" t="s">
        <v>382</v>
      </c>
      <c r="D6" s="387" t="s">
        <v>1459</v>
      </c>
      <c r="E6" s="387" t="s">
        <v>843</v>
      </c>
      <c r="F6" s="387" t="s">
        <v>1350</v>
      </c>
      <c r="G6" s="1281"/>
      <c r="H6" s="1281"/>
      <c r="I6" s="1281"/>
      <c r="J6" s="1281"/>
      <c r="K6" s="1292"/>
      <c r="L6" s="1281"/>
      <c r="M6" s="1281"/>
    </row>
    <row r="7" spans="2:16" ht="15" customHeight="1">
      <c r="B7" s="363" t="s">
        <v>418</v>
      </c>
      <c r="C7" s="364" t="s">
        <v>419</v>
      </c>
      <c r="D7" s="365" t="s">
        <v>420</v>
      </c>
      <c r="E7" s="364" t="s">
        <v>421</v>
      </c>
      <c r="F7" s="365" t="s">
        <v>422</v>
      </c>
      <c r="G7" s="364" t="s">
        <v>423</v>
      </c>
      <c r="H7" s="366" t="s">
        <v>424</v>
      </c>
      <c r="I7" s="363" t="s">
        <v>440</v>
      </c>
      <c r="J7" s="363" t="s">
        <v>441</v>
      </c>
      <c r="K7" s="363" t="s">
        <v>442</v>
      </c>
      <c r="L7" s="363" t="s">
        <v>443</v>
      </c>
      <c r="M7" s="364" t="s">
        <v>537</v>
      </c>
    </row>
    <row r="8" spans="2:16" ht="17.25" customHeight="1">
      <c r="B8" s="90">
        <f>District!C16</f>
        <v>2010</v>
      </c>
      <c r="C8" s="183">
        <v>4</v>
      </c>
      <c r="D8" s="183">
        <v>5</v>
      </c>
      <c r="E8" s="280">
        <v>17</v>
      </c>
      <c r="F8" s="367">
        <v>70</v>
      </c>
      <c r="G8" s="280">
        <v>2</v>
      </c>
      <c r="H8" s="28" t="s">
        <v>1127</v>
      </c>
      <c r="I8" s="50">
        <v>2</v>
      </c>
      <c r="J8" s="468">
        <v>46</v>
      </c>
      <c r="K8" s="183">
        <v>146</v>
      </c>
      <c r="L8" s="468">
        <v>3821</v>
      </c>
      <c r="M8" s="386">
        <v>460</v>
      </c>
    </row>
    <row r="9" spans="2:16" ht="17.25" customHeight="1">
      <c r="B9" s="90">
        <f>District!C17</f>
        <v>2011</v>
      </c>
      <c r="C9" s="183">
        <v>4</v>
      </c>
      <c r="D9" s="183">
        <v>5</v>
      </c>
      <c r="E9" s="183">
        <v>17</v>
      </c>
      <c r="F9" s="189">
        <v>70</v>
      </c>
      <c r="G9" s="183">
        <v>2</v>
      </c>
      <c r="H9" s="184" t="s">
        <v>1127</v>
      </c>
      <c r="I9" s="189">
        <v>2</v>
      </c>
      <c r="J9" s="246">
        <v>46</v>
      </c>
      <c r="K9" s="183">
        <v>146</v>
      </c>
      <c r="L9" s="246">
        <v>3821</v>
      </c>
      <c r="M9" s="183">
        <v>487</v>
      </c>
    </row>
    <row r="10" spans="2:16" ht="17.25" customHeight="1">
      <c r="B10" s="90">
        <f>District!C18</f>
        <v>2012</v>
      </c>
      <c r="C10" s="183">
        <v>4</v>
      </c>
      <c r="D10" s="183">
        <v>5</v>
      </c>
      <c r="E10" s="183">
        <v>17</v>
      </c>
      <c r="F10" s="189">
        <v>70</v>
      </c>
      <c r="G10" s="183">
        <v>3</v>
      </c>
      <c r="H10" s="184" t="s">
        <v>1127</v>
      </c>
      <c r="I10" s="189">
        <v>2</v>
      </c>
      <c r="J10" s="246">
        <v>46</v>
      </c>
      <c r="K10" s="183">
        <v>147</v>
      </c>
      <c r="L10" s="246">
        <v>3900</v>
      </c>
      <c r="M10" s="183">
        <v>326</v>
      </c>
    </row>
    <row r="11" spans="2:16" ht="17.25" customHeight="1">
      <c r="B11" s="90">
        <f>District!C19</f>
        <v>2013</v>
      </c>
      <c r="C11" s="183">
        <v>4</v>
      </c>
      <c r="D11" s="183">
        <v>5</v>
      </c>
      <c r="E11" s="183">
        <v>17</v>
      </c>
      <c r="F11" s="183">
        <v>69</v>
      </c>
      <c r="G11" s="183">
        <v>3</v>
      </c>
      <c r="H11" s="183" t="s">
        <v>1127</v>
      </c>
      <c r="I11" s="183">
        <v>2</v>
      </c>
      <c r="J11" s="183">
        <v>46</v>
      </c>
      <c r="K11" s="183">
        <v>146</v>
      </c>
      <c r="L11" s="183">
        <v>3920</v>
      </c>
      <c r="M11" s="183">
        <v>262</v>
      </c>
    </row>
    <row r="12" spans="2:16" ht="17.25" customHeight="1">
      <c r="B12" s="92">
        <f>District!C20</f>
        <v>2014</v>
      </c>
      <c r="C12" s="183">
        <f>SUM(C14,C31,C40)</f>
        <v>4</v>
      </c>
      <c r="D12" s="183">
        <v>18</v>
      </c>
      <c r="E12" s="183">
        <f>SUM(E14,E31,E40)</f>
        <v>4</v>
      </c>
      <c r="F12" s="183">
        <f>SUM(F14,F31,F40)</f>
        <v>69</v>
      </c>
      <c r="G12" s="183">
        <f>SUM(G14,G31,G40)</f>
        <v>3</v>
      </c>
      <c r="H12" s="183" t="str">
        <f>IF(SUM(H14,H31,H40)=0,"-",SUM(H14,H31,H40))</f>
        <v>-</v>
      </c>
      <c r="I12" s="183">
        <v>2</v>
      </c>
      <c r="J12" s="183">
        <f>SUM(J14,J31,J40)</f>
        <v>46</v>
      </c>
      <c r="K12" s="183">
        <f>IF(SUM(K14,K31,K40)=0,"-",SUM(K14,K31,K40))</f>
        <v>146</v>
      </c>
      <c r="L12" s="183">
        <f>SUM(L14,L31,L40)</f>
        <v>4152</v>
      </c>
      <c r="M12" s="183">
        <f>SUM(M14,M31,M40)</f>
        <v>459</v>
      </c>
    </row>
    <row r="13" spans="2:16" s="22" customFormat="1" ht="27" customHeight="1">
      <c r="B13" s="387" t="s">
        <v>1537</v>
      </c>
      <c r="C13" s="1283" t="str">
        <f>"Year : " &amp; B12</f>
        <v>Year : 2014</v>
      </c>
      <c r="D13" s="1284"/>
      <c r="E13" s="1284"/>
      <c r="F13" s="1284"/>
      <c r="G13" s="1284"/>
      <c r="H13" s="1284"/>
      <c r="I13" s="1284"/>
      <c r="J13" s="1284"/>
      <c r="K13" s="1284"/>
      <c r="L13" s="1284"/>
      <c r="M13" s="1285"/>
    </row>
    <row r="14" spans="2:16" ht="18" customHeight="1">
      <c r="B14" s="368" t="s">
        <v>1077</v>
      </c>
      <c r="C14" s="64">
        <f t="shared" ref="C14:M14" si="0">SUM(C15:C23)</f>
        <v>2</v>
      </c>
      <c r="D14" s="64">
        <v>6</v>
      </c>
      <c r="E14" s="64">
        <v>2</v>
      </c>
      <c r="F14" s="64">
        <f t="shared" si="0"/>
        <v>25</v>
      </c>
      <c r="G14" s="64">
        <v>3</v>
      </c>
      <c r="H14" s="64" t="str">
        <f>IF(SUM(H15:H23)=0,"-",(SUM(H15:H23)))</f>
        <v>-</v>
      </c>
      <c r="I14" s="64">
        <v>2</v>
      </c>
      <c r="J14" s="64">
        <v>31</v>
      </c>
      <c r="K14" s="64">
        <f>SUM(C14:J14)</f>
        <v>71</v>
      </c>
      <c r="L14" s="369">
        <v>2628</v>
      </c>
      <c r="M14" s="369">
        <f t="shared" si="0"/>
        <v>320</v>
      </c>
    </row>
    <row r="15" spans="2:16" ht="18" customHeight="1">
      <c r="B15" s="370" t="s">
        <v>596</v>
      </c>
      <c r="C15" s="246">
        <v>1</v>
      </c>
      <c r="D15" s="183">
        <v>1</v>
      </c>
      <c r="E15" s="1000" t="s">
        <v>1127</v>
      </c>
      <c r="F15" s="372">
        <v>2</v>
      </c>
      <c r="G15" s="189" t="s">
        <v>1127</v>
      </c>
      <c r="H15" s="183" t="s">
        <v>1127</v>
      </c>
      <c r="I15" s="623">
        <v>1</v>
      </c>
      <c r="J15" s="280" t="s">
        <v>1127</v>
      </c>
      <c r="K15" s="49">
        <f t="shared" ref="K15:K23" si="1">SUM(C15:J15)</f>
        <v>5</v>
      </c>
      <c r="L15" s="280">
        <v>650</v>
      </c>
      <c r="M15" s="280">
        <v>5</v>
      </c>
    </row>
    <row r="16" spans="2:16" ht="18" customHeight="1">
      <c r="B16" s="370" t="s">
        <v>365</v>
      </c>
      <c r="C16" s="246">
        <v>1</v>
      </c>
      <c r="D16" s="183" t="s">
        <v>1127</v>
      </c>
      <c r="E16" s="183" t="s">
        <v>1127</v>
      </c>
      <c r="F16" s="183" t="s">
        <v>1127</v>
      </c>
      <c r="G16" s="189">
        <v>3</v>
      </c>
      <c r="H16" s="183" t="s">
        <v>1127</v>
      </c>
      <c r="I16" s="371">
        <v>1</v>
      </c>
      <c r="J16" s="280">
        <v>26</v>
      </c>
      <c r="K16" s="49">
        <f t="shared" si="1"/>
        <v>31</v>
      </c>
      <c r="L16" s="280">
        <v>1516</v>
      </c>
      <c r="M16" s="280">
        <v>265</v>
      </c>
    </row>
    <row r="17" spans="2:13" ht="18" customHeight="1">
      <c r="B17" s="370" t="s">
        <v>595</v>
      </c>
      <c r="C17" s="183" t="s">
        <v>1127</v>
      </c>
      <c r="D17" s="183" t="s">
        <v>1127</v>
      </c>
      <c r="E17" s="1000">
        <v>1</v>
      </c>
      <c r="F17" s="372">
        <v>2</v>
      </c>
      <c r="G17" s="183" t="s">
        <v>1127</v>
      </c>
      <c r="H17" s="183" t="s">
        <v>1127</v>
      </c>
      <c r="I17" s="183" t="s">
        <v>1127</v>
      </c>
      <c r="J17" s="371">
        <v>1</v>
      </c>
      <c r="K17" s="49">
        <f t="shared" si="1"/>
        <v>4</v>
      </c>
      <c r="L17" s="280">
        <v>94</v>
      </c>
      <c r="M17" s="280">
        <v>5</v>
      </c>
    </row>
    <row r="18" spans="2:13" ht="18" customHeight="1">
      <c r="B18" s="370" t="s">
        <v>597</v>
      </c>
      <c r="C18" s="183" t="s">
        <v>1127</v>
      </c>
      <c r="D18" s="183">
        <v>1</v>
      </c>
      <c r="E18" s="1000" t="s">
        <v>1127</v>
      </c>
      <c r="F18" s="372">
        <v>4</v>
      </c>
      <c r="G18" s="183" t="s">
        <v>1127</v>
      </c>
      <c r="H18" s="183" t="s">
        <v>1127</v>
      </c>
      <c r="I18" s="183" t="s">
        <v>1127</v>
      </c>
      <c r="J18" s="280">
        <v>1</v>
      </c>
      <c r="K18" s="49">
        <f t="shared" si="1"/>
        <v>6</v>
      </c>
      <c r="L18" s="280">
        <v>59</v>
      </c>
      <c r="M18" s="280">
        <v>7</v>
      </c>
    </row>
    <row r="19" spans="2:13" ht="18" customHeight="1">
      <c r="B19" s="370" t="s">
        <v>598</v>
      </c>
      <c r="C19" s="183" t="s">
        <v>1127</v>
      </c>
      <c r="D19" s="183">
        <v>1</v>
      </c>
      <c r="E19" s="1000" t="s">
        <v>1127</v>
      </c>
      <c r="F19" s="372">
        <v>3</v>
      </c>
      <c r="G19" s="183" t="s">
        <v>1127</v>
      </c>
      <c r="H19" s="183" t="s">
        <v>1127</v>
      </c>
      <c r="I19" s="183" t="s">
        <v>1127</v>
      </c>
      <c r="J19" s="371">
        <v>1</v>
      </c>
      <c r="K19" s="49">
        <f t="shared" si="1"/>
        <v>5</v>
      </c>
      <c r="L19" s="280">
        <v>61</v>
      </c>
      <c r="M19" s="280">
        <v>6</v>
      </c>
    </row>
    <row r="20" spans="2:13" ht="18" customHeight="1">
      <c r="B20" s="370" t="s">
        <v>599</v>
      </c>
      <c r="C20" s="183" t="s">
        <v>1127</v>
      </c>
      <c r="D20" s="183">
        <v>1</v>
      </c>
      <c r="E20" s="1000">
        <v>1</v>
      </c>
      <c r="F20" s="372">
        <v>2</v>
      </c>
      <c r="G20" s="183" t="s">
        <v>1127</v>
      </c>
      <c r="H20" s="183" t="s">
        <v>1127</v>
      </c>
      <c r="I20" s="183" t="s">
        <v>1127</v>
      </c>
      <c r="J20" s="183" t="s">
        <v>1127</v>
      </c>
      <c r="K20" s="49">
        <v>3</v>
      </c>
      <c r="L20" s="280">
        <v>44</v>
      </c>
      <c r="M20" s="280">
        <v>5</v>
      </c>
    </row>
    <row r="21" spans="2:13" ht="18" customHeight="1">
      <c r="B21" s="370" t="s">
        <v>771</v>
      </c>
      <c r="C21" s="183" t="s">
        <v>1127</v>
      </c>
      <c r="D21" s="183">
        <v>1</v>
      </c>
      <c r="E21" s="1000" t="s">
        <v>1127</v>
      </c>
      <c r="F21" s="372">
        <v>3</v>
      </c>
      <c r="G21" s="183" t="s">
        <v>1127</v>
      </c>
      <c r="H21" s="183" t="s">
        <v>1127</v>
      </c>
      <c r="I21" s="183" t="s">
        <v>1127</v>
      </c>
      <c r="J21" s="371">
        <v>1</v>
      </c>
      <c r="K21" s="49">
        <f t="shared" si="1"/>
        <v>5</v>
      </c>
      <c r="L21" s="280">
        <v>75</v>
      </c>
      <c r="M21" s="280">
        <v>8</v>
      </c>
    </row>
    <row r="22" spans="2:13" ht="18" customHeight="1">
      <c r="B22" s="370" t="s">
        <v>600</v>
      </c>
      <c r="C22" s="183" t="s">
        <v>1127</v>
      </c>
      <c r="D22" s="183">
        <v>1</v>
      </c>
      <c r="E22" s="1000" t="s">
        <v>1127</v>
      </c>
      <c r="F22" s="372">
        <v>4</v>
      </c>
      <c r="G22" s="183" t="s">
        <v>1127</v>
      </c>
      <c r="H22" s="183" t="s">
        <v>1127</v>
      </c>
      <c r="I22" s="183" t="s">
        <v>1127</v>
      </c>
      <c r="J22" s="280">
        <v>1</v>
      </c>
      <c r="K22" s="49">
        <f t="shared" si="1"/>
        <v>6</v>
      </c>
      <c r="L22" s="280">
        <v>63</v>
      </c>
      <c r="M22" s="280">
        <v>7</v>
      </c>
    </row>
    <row r="23" spans="2:13" ht="18" customHeight="1">
      <c r="B23" s="374" t="s">
        <v>602</v>
      </c>
      <c r="C23" s="248" t="s">
        <v>1127</v>
      </c>
      <c r="D23" s="248">
        <v>1</v>
      </c>
      <c r="E23" s="999" t="s">
        <v>1127</v>
      </c>
      <c r="F23" s="376">
        <v>5</v>
      </c>
      <c r="G23" s="248" t="s">
        <v>1127</v>
      </c>
      <c r="H23" s="248" t="s">
        <v>1127</v>
      </c>
      <c r="I23" s="248" t="s">
        <v>1127</v>
      </c>
      <c r="J23" s="248" t="s">
        <v>1127</v>
      </c>
      <c r="K23" s="48">
        <f t="shared" si="1"/>
        <v>6</v>
      </c>
      <c r="L23" s="294">
        <v>66</v>
      </c>
      <c r="M23" s="294">
        <v>12</v>
      </c>
    </row>
    <row r="24" spans="2:13" ht="16.5" customHeight="1">
      <c r="E24" s="189"/>
      <c r="F24" s="367"/>
      <c r="G24" s="373"/>
      <c r="H24" s="373"/>
      <c r="I24" s="373"/>
      <c r="J24" s="373"/>
      <c r="K24" s="50"/>
      <c r="M24" s="829" t="s">
        <v>480</v>
      </c>
    </row>
    <row r="25" spans="2:13" ht="14.25" customHeight="1">
      <c r="B25" s="1286" t="s">
        <v>484</v>
      </c>
      <c r="C25" s="1286"/>
      <c r="D25" s="1286"/>
      <c r="E25" s="1286"/>
      <c r="F25" s="1286"/>
      <c r="G25" s="1286"/>
      <c r="H25" s="1286"/>
      <c r="I25" s="1286"/>
      <c r="J25" s="1286"/>
      <c r="K25" s="1286"/>
      <c r="L25" s="1286"/>
      <c r="M25" s="1286"/>
    </row>
    <row r="26" spans="2:13" ht="12" customHeight="1">
      <c r="M26" s="362" t="s">
        <v>452</v>
      </c>
    </row>
    <row r="27" spans="2:13" ht="15" customHeight="1">
      <c r="B27" s="1280" t="s">
        <v>1537</v>
      </c>
      <c r="C27" s="1288" t="s">
        <v>1244</v>
      </c>
      <c r="D27" s="1289"/>
      <c r="E27" s="1289"/>
      <c r="F27" s="1289"/>
      <c r="G27" s="1289"/>
      <c r="H27" s="1289"/>
      <c r="I27" s="1289"/>
      <c r="J27" s="1289"/>
      <c r="K27" s="1290"/>
      <c r="L27" s="1280" t="s">
        <v>399</v>
      </c>
      <c r="M27" s="1280" t="s">
        <v>1010</v>
      </c>
    </row>
    <row r="28" spans="2:13" ht="15" customHeight="1">
      <c r="B28" s="1287"/>
      <c r="C28" s="1288" t="s">
        <v>113</v>
      </c>
      <c r="D28" s="1289"/>
      <c r="E28" s="1289"/>
      <c r="F28" s="1290"/>
      <c r="G28" s="1280" t="s">
        <v>1461</v>
      </c>
      <c r="H28" s="1280" t="s">
        <v>1462</v>
      </c>
      <c r="I28" s="1280" t="s">
        <v>1463</v>
      </c>
      <c r="J28" s="1280" t="s">
        <v>955</v>
      </c>
      <c r="K28" s="1291" t="s">
        <v>439</v>
      </c>
      <c r="L28" s="1287"/>
      <c r="M28" s="1287"/>
    </row>
    <row r="29" spans="2:13" ht="66.75" customHeight="1">
      <c r="B29" s="1281"/>
      <c r="C29" s="387" t="s">
        <v>382</v>
      </c>
      <c r="D29" s="387" t="s">
        <v>1459</v>
      </c>
      <c r="E29" s="387" t="s">
        <v>1460</v>
      </c>
      <c r="F29" s="387" t="s">
        <v>1350</v>
      </c>
      <c r="G29" s="1281"/>
      <c r="H29" s="1281"/>
      <c r="I29" s="1281"/>
      <c r="J29" s="1281"/>
      <c r="K29" s="1292"/>
      <c r="L29" s="1281"/>
      <c r="M29" s="1281"/>
    </row>
    <row r="30" spans="2:13" ht="15" customHeight="1">
      <c r="B30" s="363" t="s">
        <v>418</v>
      </c>
      <c r="C30" s="364" t="s">
        <v>419</v>
      </c>
      <c r="D30" s="365" t="s">
        <v>420</v>
      </c>
      <c r="E30" s="364" t="s">
        <v>421</v>
      </c>
      <c r="F30" s="365" t="s">
        <v>422</v>
      </c>
      <c r="G30" s="364" t="s">
        <v>423</v>
      </c>
      <c r="H30" s="366" t="s">
        <v>424</v>
      </c>
      <c r="I30" s="363" t="s">
        <v>440</v>
      </c>
      <c r="J30" s="363" t="s">
        <v>441</v>
      </c>
      <c r="K30" s="363" t="s">
        <v>442</v>
      </c>
      <c r="L30" s="363" t="s">
        <v>443</v>
      </c>
      <c r="M30" s="364" t="s">
        <v>537</v>
      </c>
    </row>
    <row r="31" spans="2:13" ht="16.5" customHeight="1">
      <c r="B31" s="368" t="s">
        <v>273</v>
      </c>
      <c r="C31" s="64">
        <f t="shared" ref="C31:M31" si="2">SUM(C32:C39)</f>
        <v>1</v>
      </c>
      <c r="D31" s="64">
        <f t="shared" si="2"/>
        <v>7</v>
      </c>
      <c r="E31" s="64">
        <f t="shared" si="2"/>
        <v>1</v>
      </c>
      <c r="F31" s="64">
        <f t="shared" si="2"/>
        <v>21</v>
      </c>
      <c r="G31" s="64" t="str">
        <f>IF(SUM(G32:G39)=0,"-",SUM(G32:G39))</f>
        <v>-</v>
      </c>
      <c r="H31" s="64" t="str">
        <f>IF(SUM(H32:H39)=0,"-",SUM(H32:H39))</f>
        <v>-</v>
      </c>
      <c r="I31" s="64" t="str">
        <f>IF(SUM(I32:I39)=0,"-",SUM(I32:I39))</f>
        <v>-</v>
      </c>
      <c r="J31" s="64">
        <v>4</v>
      </c>
      <c r="K31" s="64">
        <f>SUM(C31:J31)</f>
        <v>34</v>
      </c>
      <c r="L31" s="43">
        <v>698</v>
      </c>
      <c r="M31" s="43">
        <f t="shared" si="2"/>
        <v>77</v>
      </c>
    </row>
    <row r="32" spans="2:13" ht="16.5" customHeight="1">
      <c r="B32" s="370" t="s">
        <v>605</v>
      </c>
      <c r="C32" s="183" t="s">
        <v>1127</v>
      </c>
      <c r="D32" s="183">
        <v>1</v>
      </c>
      <c r="E32" s="1000" t="s">
        <v>1127</v>
      </c>
      <c r="F32" s="372">
        <v>3</v>
      </c>
      <c r="G32" s="183" t="s">
        <v>1127</v>
      </c>
      <c r="H32" s="183" t="s">
        <v>1127</v>
      </c>
      <c r="I32" s="183" t="s">
        <v>1127</v>
      </c>
      <c r="J32" s="280">
        <v>1</v>
      </c>
      <c r="K32" s="90">
        <f t="shared" ref="K32:K39" si="3">SUM(C32:J32)</f>
        <v>5</v>
      </c>
      <c r="L32" s="280">
        <v>55</v>
      </c>
      <c r="M32" s="280">
        <v>5</v>
      </c>
    </row>
    <row r="33" spans="2:13" ht="16.5" customHeight="1">
      <c r="B33" s="370" t="s">
        <v>604</v>
      </c>
      <c r="C33" s="246">
        <v>1</v>
      </c>
      <c r="D33" s="1000" t="s">
        <v>1127</v>
      </c>
      <c r="E33" s="183">
        <v>1</v>
      </c>
      <c r="F33" s="367">
        <v>1</v>
      </c>
      <c r="G33" s="183" t="s">
        <v>1127</v>
      </c>
      <c r="H33" s="184" t="s">
        <v>1127</v>
      </c>
      <c r="I33" s="183" t="s">
        <v>1127</v>
      </c>
      <c r="J33" s="183" t="s">
        <v>1127</v>
      </c>
      <c r="K33" s="90">
        <f t="shared" si="3"/>
        <v>3</v>
      </c>
      <c r="L33" s="280">
        <v>125</v>
      </c>
      <c r="M33" s="280">
        <v>23</v>
      </c>
    </row>
    <row r="34" spans="2:13" ht="16.5" customHeight="1">
      <c r="B34" s="370" t="s">
        <v>368</v>
      </c>
      <c r="C34" s="183" t="s">
        <v>1127</v>
      </c>
      <c r="D34" s="183">
        <v>1</v>
      </c>
      <c r="E34" s="1000" t="s">
        <v>1127</v>
      </c>
      <c r="F34" s="367">
        <v>2</v>
      </c>
      <c r="G34" s="183" t="s">
        <v>1127</v>
      </c>
      <c r="H34" s="184" t="s">
        <v>1127</v>
      </c>
      <c r="I34" s="183" t="s">
        <v>1127</v>
      </c>
      <c r="J34" s="183" t="s">
        <v>1127</v>
      </c>
      <c r="K34" s="90">
        <f t="shared" si="3"/>
        <v>3</v>
      </c>
      <c r="L34" s="280">
        <v>44</v>
      </c>
      <c r="M34" s="280">
        <v>6</v>
      </c>
    </row>
    <row r="35" spans="2:13" ht="16.5" customHeight="1">
      <c r="B35" s="370" t="s">
        <v>606</v>
      </c>
      <c r="C35" s="183" t="s">
        <v>1127</v>
      </c>
      <c r="D35" s="183">
        <v>1</v>
      </c>
      <c r="E35" s="1000" t="s">
        <v>1127</v>
      </c>
      <c r="F35" s="367">
        <v>4</v>
      </c>
      <c r="G35" s="183" t="s">
        <v>1127</v>
      </c>
      <c r="H35" s="184" t="s">
        <v>1127</v>
      </c>
      <c r="I35" s="183" t="s">
        <v>1127</v>
      </c>
      <c r="J35" s="183" t="s">
        <v>1127</v>
      </c>
      <c r="K35" s="90">
        <f t="shared" si="3"/>
        <v>5</v>
      </c>
      <c r="L35" s="280">
        <v>84</v>
      </c>
      <c r="M35" s="280">
        <v>8</v>
      </c>
    </row>
    <row r="36" spans="2:13" ht="16.5" customHeight="1">
      <c r="B36" s="370" t="s">
        <v>347</v>
      </c>
      <c r="C36" s="183" t="s">
        <v>1127</v>
      </c>
      <c r="D36" s="183">
        <v>1</v>
      </c>
      <c r="E36" s="1000" t="s">
        <v>1127</v>
      </c>
      <c r="F36" s="372">
        <v>4</v>
      </c>
      <c r="G36" s="183" t="s">
        <v>1127</v>
      </c>
      <c r="H36" s="183" t="s">
        <v>1127</v>
      </c>
      <c r="I36" s="183" t="s">
        <v>1127</v>
      </c>
      <c r="J36" s="391">
        <v>1</v>
      </c>
      <c r="K36" s="90">
        <f t="shared" si="3"/>
        <v>6</v>
      </c>
      <c r="L36" s="280">
        <v>74</v>
      </c>
      <c r="M36" s="280">
        <v>11</v>
      </c>
    </row>
    <row r="37" spans="2:13" ht="16.5" customHeight="1">
      <c r="B37" s="370" t="s">
        <v>369</v>
      </c>
      <c r="C37" s="183" t="s">
        <v>1127</v>
      </c>
      <c r="D37" s="183">
        <v>1</v>
      </c>
      <c r="E37" s="1000" t="s">
        <v>1127</v>
      </c>
      <c r="F37" s="367">
        <v>3</v>
      </c>
      <c r="G37" s="183" t="s">
        <v>1127</v>
      </c>
      <c r="H37" s="184" t="s">
        <v>1127</v>
      </c>
      <c r="I37" s="183" t="s">
        <v>1127</v>
      </c>
      <c r="J37" s="183" t="s">
        <v>1127</v>
      </c>
      <c r="K37" s="90">
        <f t="shared" si="3"/>
        <v>4</v>
      </c>
      <c r="L37" s="280">
        <v>50</v>
      </c>
      <c r="M37" s="280">
        <v>8</v>
      </c>
    </row>
    <row r="38" spans="2:13" ht="16.5" customHeight="1">
      <c r="B38" s="370" t="s">
        <v>349</v>
      </c>
      <c r="C38" s="183" t="s">
        <v>1127</v>
      </c>
      <c r="D38" s="183">
        <v>1</v>
      </c>
      <c r="E38" s="183" t="s">
        <v>1127</v>
      </c>
      <c r="F38" s="367">
        <v>3</v>
      </c>
      <c r="G38" s="183" t="s">
        <v>1127</v>
      </c>
      <c r="H38" s="184" t="s">
        <v>1127</v>
      </c>
      <c r="I38" s="183" t="s">
        <v>1127</v>
      </c>
      <c r="J38" s="183" t="s">
        <v>1127</v>
      </c>
      <c r="K38" s="90">
        <f t="shared" si="3"/>
        <v>4</v>
      </c>
      <c r="L38" s="280">
        <v>64</v>
      </c>
      <c r="M38" s="280">
        <v>10</v>
      </c>
    </row>
    <row r="39" spans="2:13" ht="16.5" customHeight="1">
      <c r="B39" s="370" t="s">
        <v>370</v>
      </c>
      <c r="C39" s="183" t="s">
        <v>1127</v>
      </c>
      <c r="D39" s="183">
        <v>1</v>
      </c>
      <c r="E39" s="1000" t="s">
        <v>1127</v>
      </c>
      <c r="F39" s="367">
        <v>1</v>
      </c>
      <c r="G39" s="183" t="s">
        <v>1127</v>
      </c>
      <c r="H39" s="184" t="s">
        <v>1127</v>
      </c>
      <c r="I39" s="183" t="s">
        <v>1127</v>
      </c>
      <c r="J39" s="280">
        <v>2</v>
      </c>
      <c r="K39" s="90">
        <f t="shared" si="3"/>
        <v>4</v>
      </c>
      <c r="L39" s="280">
        <v>202</v>
      </c>
      <c r="M39" s="280">
        <v>6</v>
      </c>
    </row>
    <row r="40" spans="2:13" ht="16.5" customHeight="1">
      <c r="B40" s="368" t="s">
        <v>372</v>
      </c>
      <c r="C40" s="43">
        <f t="shared" ref="C40:M40" si="4">SUM(C41:C48)</f>
        <v>1</v>
      </c>
      <c r="D40" s="43">
        <f t="shared" si="4"/>
        <v>5</v>
      </c>
      <c r="E40" s="43">
        <f t="shared" si="4"/>
        <v>1</v>
      </c>
      <c r="F40" s="43">
        <f t="shared" si="4"/>
        <v>23</v>
      </c>
      <c r="G40" s="43" t="str">
        <f>IF(SUM(G41:G48)=0,"-",SUM(G41:G48))</f>
        <v>-</v>
      </c>
      <c r="H40" s="43" t="str">
        <f>IF(SUM(H41:H48)=0,"-",SUM(H41:H48))</f>
        <v>-</v>
      </c>
      <c r="I40" s="43" t="str">
        <f>IF(SUM(I41:I48)=0,"-",SUM(I41:I48))</f>
        <v>-</v>
      </c>
      <c r="J40" s="43">
        <v>11</v>
      </c>
      <c r="K40" s="64">
        <f>SUM(C40:J40)</f>
        <v>41</v>
      </c>
      <c r="L40" s="43">
        <v>826</v>
      </c>
      <c r="M40" s="43">
        <f t="shared" si="4"/>
        <v>62</v>
      </c>
    </row>
    <row r="41" spans="2:13" ht="16.5" customHeight="1">
      <c r="B41" s="370" t="s">
        <v>350</v>
      </c>
      <c r="C41" s="183" t="s">
        <v>1127</v>
      </c>
      <c r="D41" s="183">
        <v>1</v>
      </c>
      <c r="E41" s="1000" t="s">
        <v>1127</v>
      </c>
      <c r="F41" s="367">
        <v>3</v>
      </c>
      <c r="G41" s="183" t="s">
        <v>1127</v>
      </c>
      <c r="H41" s="184" t="s">
        <v>1127</v>
      </c>
      <c r="I41" s="183" t="s">
        <v>1127</v>
      </c>
      <c r="J41" s="183" t="s">
        <v>1127</v>
      </c>
      <c r="K41" s="49">
        <f t="shared" ref="K41:K48" si="5">SUM(C41:J41)</f>
        <v>4</v>
      </c>
      <c r="L41" s="280">
        <v>52</v>
      </c>
      <c r="M41" s="280">
        <v>4</v>
      </c>
    </row>
    <row r="42" spans="2:13" ht="16.5" customHeight="1">
      <c r="B42" s="370" t="s">
        <v>356</v>
      </c>
      <c r="C42" s="246">
        <v>1</v>
      </c>
      <c r="D42" s="183" t="s">
        <v>1127</v>
      </c>
      <c r="E42" s="183" t="s">
        <v>1127</v>
      </c>
      <c r="F42" s="246" t="s">
        <v>1127</v>
      </c>
      <c r="G42" s="183" t="s">
        <v>1127</v>
      </c>
      <c r="H42" s="184" t="s">
        <v>1127</v>
      </c>
      <c r="I42" s="183" t="s">
        <v>1127</v>
      </c>
      <c r="J42" s="280">
        <v>4</v>
      </c>
      <c r="K42" s="49">
        <f t="shared" si="5"/>
        <v>5</v>
      </c>
      <c r="L42" s="280">
        <v>350</v>
      </c>
      <c r="M42" s="280">
        <v>29</v>
      </c>
    </row>
    <row r="43" spans="2:13" ht="16.5" customHeight="1">
      <c r="B43" s="370" t="s">
        <v>351</v>
      </c>
      <c r="C43" s="183" t="s">
        <v>1127</v>
      </c>
      <c r="D43" s="183" t="s">
        <v>1127</v>
      </c>
      <c r="E43" s="183">
        <v>1</v>
      </c>
      <c r="F43" s="367">
        <v>4</v>
      </c>
      <c r="G43" s="183" t="s">
        <v>1127</v>
      </c>
      <c r="H43" s="184" t="s">
        <v>1127</v>
      </c>
      <c r="I43" s="183" t="s">
        <v>1127</v>
      </c>
      <c r="J43" s="183" t="s">
        <v>1127</v>
      </c>
      <c r="K43" s="49">
        <f t="shared" si="5"/>
        <v>5</v>
      </c>
      <c r="L43" s="280">
        <v>52</v>
      </c>
      <c r="M43" s="280">
        <v>5</v>
      </c>
    </row>
    <row r="44" spans="2:13" ht="16.5" customHeight="1">
      <c r="B44" s="370" t="s">
        <v>352</v>
      </c>
      <c r="C44" s="183" t="s">
        <v>1127</v>
      </c>
      <c r="D44" s="183">
        <v>1</v>
      </c>
      <c r="E44" s="183" t="s">
        <v>1127</v>
      </c>
      <c r="F44" s="367">
        <v>6</v>
      </c>
      <c r="G44" s="183" t="s">
        <v>1127</v>
      </c>
      <c r="H44" s="184" t="s">
        <v>1127</v>
      </c>
      <c r="I44" s="183" t="s">
        <v>1127</v>
      </c>
      <c r="J44" s="280">
        <v>2</v>
      </c>
      <c r="K44" s="49">
        <f t="shared" si="5"/>
        <v>9</v>
      </c>
      <c r="L44" s="280">
        <v>130</v>
      </c>
      <c r="M44" s="280">
        <v>9</v>
      </c>
    </row>
    <row r="45" spans="2:13" ht="16.5" customHeight="1">
      <c r="B45" s="370" t="s">
        <v>353</v>
      </c>
      <c r="C45" s="183" t="s">
        <v>1127</v>
      </c>
      <c r="D45" s="183">
        <v>1</v>
      </c>
      <c r="E45" s="183" t="s">
        <v>1127</v>
      </c>
      <c r="F45" s="367">
        <v>4</v>
      </c>
      <c r="G45" s="183" t="s">
        <v>1127</v>
      </c>
      <c r="H45" s="184" t="s">
        <v>1127</v>
      </c>
      <c r="I45" s="183" t="s">
        <v>1127</v>
      </c>
      <c r="J45" s="183" t="s">
        <v>1127</v>
      </c>
      <c r="K45" s="49">
        <f t="shared" si="5"/>
        <v>5</v>
      </c>
      <c r="L45" s="280">
        <v>72</v>
      </c>
      <c r="M45" s="280">
        <v>5</v>
      </c>
    </row>
    <row r="46" spans="2:13" ht="16.5" customHeight="1">
      <c r="B46" s="370" t="s">
        <v>362</v>
      </c>
      <c r="C46" s="183" t="s">
        <v>1127</v>
      </c>
      <c r="D46" s="183" t="s">
        <v>1127</v>
      </c>
      <c r="E46" s="183" t="s">
        <v>1127</v>
      </c>
      <c r="F46" s="246" t="s">
        <v>1127</v>
      </c>
      <c r="G46" s="183" t="s">
        <v>1127</v>
      </c>
      <c r="H46" s="184" t="s">
        <v>1127</v>
      </c>
      <c r="I46" s="183" t="s">
        <v>1127</v>
      </c>
      <c r="J46" s="280">
        <v>5</v>
      </c>
      <c r="K46" s="49">
        <f t="shared" si="5"/>
        <v>5</v>
      </c>
      <c r="L46" s="280">
        <v>70</v>
      </c>
      <c r="M46" s="1001" t="s">
        <v>1127</v>
      </c>
    </row>
    <row r="47" spans="2:13" ht="16.5" customHeight="1">
      <c r="B47" s="370" t="s">
        <v>354</v>
      </c>
      <c r="C47" s="183" t="s">
        <v>1127</v>
      </c>
      <c r="D47" s="183">
        <v>1</v>
      </c>
      <c r="E47" s="1000" t="s">
        <v>1127</v>
      </c>
      <c r="F47" s="372">
        <v>3</v>
      </c>
      <c r="G47" s="183" t="s">
        <v>1127</v>
      </c>
      <c r="H47" s="183" t="s">
        <v>1127</v>
      </c>
      <c r="I47" s="183" t="s">
        <v>1127</v>
      </c>
      <c r="J47" s="183" t="s">
        <v>1127</v>
      </c>
      <c r="K47" s="49">
        <f t="shared" si="5"/>
        <v>4</v>
      </c>
      <c r="L47" s="280">
        <v>50</v>
      </c>
      <c r="M47" s="280">
        <v>4</v>
      </c>
    </row>
    <row r="48" spans="2:13" ht="16.5" customHeight="1">
      <c r="B48" s="374" t="s">
        <v>355</v>
      </c>
      <c r="C48" s="183" t="s">
        <v>1127</v>
      </c>
      <c r="D48" s="183">
        <v>1</v>
      </c>
      <c r="E48" s="999" t="s">
        <v>1127</v>
      </c>
      <c r="F48" s="936">
        <v>3</v>
      </c>
      <c r="G48" s="248" t="s">
        <v>1127</v>
      </c>
      <c r="H48" s="194" t="s">
        <v>1127</v>
      </c>
      <c r="I48" s="248" t="s">
        <v>1127</v>
      </c>
      <c r="J48" s="248" t="s">
        <v>1127</v>
      </c>
      <c r="K48" s="48">
        <f t="shared" si="5"/>
        <v>4</v>
      </c>
      <c r="L48" s="294">
        <v>50</v>
      </c>
      <c r="M48" s="294">
        <v>6</v>
      </c>
    </row>
    <row r="49" spans="2:13">
      <c r="B49" s="728"/>
      <c r="C49" s="653"/>
      <c r="D49" s="653"/>
      <c r="E49" s="711"/>
      <c r="J49" s="725" t="s">
        <v>487</v>
      </c>
      <c r="K49" s="726" t="s">
        <v>795</v>
      </c>
    </row>
    <row r="50" spans="2:13" ht="12.75" customHeight="1">
      <c r="C50" s="378"/>
      <c r="D50" s="378"/>
      <c r="E50" s="378"/>
      <c r="F50" s="377"/>
      <c r="J50" s="768" t="s">
        <v>488</v>
      </c>
      <c r="K50" s="1279" t="s">
        <v>866</v>
      </c>
      <c r="L50" s="1279"/>
      <c r="M50" s="1279"/>
    </row>
    <row r="51" spans="2:13" ht="12.75" customHeight="1">
      <c r="B51" s="378"/>
      <c r="C51" s="378"/>
      <c r="D51" s="378"/>
      <c r="E51" s="378"/>
      <c r="K51" s="1279"/>
      <c r="L51" s="1279"/>
      <c r="M51" s="1279"/>
    </row>
    <row r="55" spans="2:13">
      <c r="B55" s="269"/>
      <c r="C55" s="269"/>
      <c r="D55" s="269"/>
      <c r="E55" s="269"/>
      <c r="F55" s="269"/>
      <c r="G55" s="269"/>
      <c r="H55" s="275"/>
    </row>
    <row r="59" spans="2:13">
      <c r="C59" s="269"/>
      <c r="D59" s="269"/>
      <c r="E59" s="269"/>
      <c r="F59" s="269"/>
      <c r="G59" s="269"/>
      <c r="H59" s="269"/>
      <c r="I59" s="269"/>
    </row>
  </sheetData>
  <mergeCells count="25">
    <mergeCell ref="B1:M1"/>
    <mergeCell ref="L4:L6"/>
    <mergeCell ref="M4:M6"/>
    <mergeCell ref="B2:M2"/>
    <mergeCell ref="I5:I6"/>
    <mergeCell ref="J5:J6"/>
    <mergeCell ref="K5:K6"/>
    <mergeCell ref="B4:B6"/>
    <mergeCell ref="C4:K4"/>
    <mergeCell ref="G5:G6"/>
    <mergeCell ref="K50:M51"/>
    <mergeCell ref="H5:H6"/>
    <mergeCell ref="I28:I29"/>
    <mergeCell ref="C5:F5"/>
    <mergeCell ref="C13:M13"/>
    <mergeCell ref="B25:M25"/>
    <mergeCell ref="B27:B29"/>
    <mergeCell ref="C27:K27"/>
    <mergeCell ref="M27:M29"/>
    <mergeCell ref="C28:F28"/>
    <mergeCell ref="L27:L29"/>
    <mergeCell ref="K28:K29"/>
    <mergeCell ref="G28:G29"/>
    <mergeCell ref="H28:H29"/>
    <mergeCell ref="J28:J29"/>
  </mergeCells>
  <phoneticPr fontId="0" type="noConversion"/>
  <conditionalFormatting sqref="A1:XFD1048576">
    <cfRule type="cellIs" dxfId="15" priority="1" stopIfTrue="1" operator="equal">
      <formula>".."</formula>
    </cfRule>
  </conditionalFormatting>
  <printOptions horizontalCentered="1"/>
  <pageMargins left="0.1" right="0.1" top="0.84" bottom="0.1" header="0.16" footer="0.1"/>
  <pageSetup paperSize="9" orientation="landscape" r:id="rId1"/>
  <headerFooter alignWithMargins="0"/>
  <rowBreaks count="1" manualBreakCount="1">
    <brk id="24" max="16383" man="1"/>
  </rowBreaks>
</worksheet>
</file>

<file path=xl/worksheets/sheet23.xml><?xml version="1.0" encoding="utf-8"?>
<worksheet xmlns="http://schemas.openxmlformats.org/spreadsheetml/2006/main" xmlns:r="http://schemas.openxmlformats.org/officeDocument/2006/relationships">
  <sheetPr codeName="Sheet23"/>
  <dimension ref="A1:I46"/>
  <sheetViews>
    <sheetView workbookViewId="0">
      <selection activeCell="E53" sqref="E53"/>
    </sheetView>
  </sheetViews>
  <sheetFormatPr defaultRowHeight="12.4" customHeight="1"/>
  <cols>
    <col min="1" max="1" width="18" style="268" customWidth="1"/>
    <col min="2" max="2" width="9.42578125" style="268" customWidth="1"/>
    <col min="3" max="5" width="8.7109375" style="268" customWidth="1"/>
    <col min="6" max="6" width="9.7109375" style="268" customWidth="1"/>
    <col min="7" max="7" width="10.28515625" style="268" customWidth="1"/>
    <col min="8" max="8" width="8.85546875" style="268" customWidth="1"/>
    <col min="9" max="9" width="10.85546875" style="268" customWidth="1"/>
    <col min="10" max="16384" width="9.140625" style="268"/>
  </cols>
  <sheetData>
    <row r="1" spans="1:9" ht="12.75" customHeight="1">
      <c r="A1" s="1297" t="s">
        <v>1592</v>
      </c>
      <c r="B1" s="1297"/>
      <c r="C1" s="1297"/>
      <c r="D1" s="1297"/>
      <c r="E1" s="1297"/>
      <c r="F1" s="1297"/>
      <c r="G1" s="1297"/>
      <c r="H1" s="1297"/>
      <c r="I1" s="1297"/>
    </row>
    <row r="2" spans="1:9" s="379" customFormat="1" ht="15" customHeight="1">
      <c r="A2" s="1293" t="str">
        <f>CONCATENATE("Family Welfare Centres in the district of ",District!$A$1)</f>
        <v>Family Welfare Centres in the district of Bankura</v>
      </c>
      <c r="B2" s="1293"/>
      <c r="C2" s="1293"/>
      <c r="D2" s="1293"/>
      <c r="E2" s="1293"/>
      <c r="F2" s="1293"/>
      <c r="G2" s="1293"/>
      <c r="H2" s="1293"/>
      <c r="I2" s="1293"/>
    </row>
    <row r="3" spans="1:9" ht="12.4" customHeight="1">
      <c r="A3" s="380"/>
      <c r="B3" s="380"/>
      <c r="C3" s="381"/>
      <c r="D3" s="381"/>
      <c r="E3" s="381"/>
      <c r="F3" s="381"/>
      <c r="G3" s="381"/>
      <c r="H3" s="381"/>
      <c r="I3" s="362" t="s">
        <v>452</v>
      </c>
    </row>
    <row r="4" spans="1:9" ht="15.95" customHeight="1">
      <c r="A4" s="1280" t="s">
        <v>304</v>
      </c>
      <c r="B4" s="1294" t="s">
        <v>1255</v>
      </c>
      <c r="C4" s="1288" t="s">
        <v>796</v>
      </c>
      <c r="D4" s="1289"/>
      <c r="E4" s="1290"/>
      <c r="F4" s="1298" t="s">
        <v>797</v>
      </c>
      <c r="G4" s="1299"/>
      <c r="H4" s="1299"/>
      <c r="I4" s="1300"/>
    </row>
    <row r="5" spans="1:9" ht="39" customHeight="1">
      <c r="A5" s="1281"/>
      <c r="B5" s="1296"/>
      <c r="C5" s="382" t="s">
        <v>618</v>
      </c>
      <c r="D5" s="382" t="s">
        <v>619</v>
      </c>
      <c r="E5" s="237" t="s">
        <v>439</v>
      </c>
      <c r="F5" s="383" t="s">
        <v>314</v>
      </c>
      <c r="G5" s="121" t="s">
        <v>315</v>
      </c>
      <c r="H5" s="50" t="s">
        <v>316</v>
      </c>
      <c r="I5" s="387" t="s">
        <v>93</v>
      </c>
    </row>
    <row r="6" spans="1:9" ht="12.75">
      <c r="A6" s="364" t="s">
        <v>418</v>
      </c>
      <c r="B6" s="365" t="s">
        <v>419</v>
      </c>
      <c r="C6" s="364" t="s">
        <v>420</v>
      </c>
      <c r="D6" s="364" t="s">
        <v>421</v>
      </c>
      <c r="E6" s="384" t="s">
        <v>422</v>
      </c>
      <c r="F6" s="363" t="s">
        <v>423</v>
      </c>
      <c r="G6" s="364" t="s">
        <v>424</v>
      </c>
      <c r="H6" s="365" t="s">
        <v>440</v>
      </c>
      <c r="I6" s="364" t="s">
        <v>441</v>
      </c>
    </row>
    <row r="7" spans="1:9" ht="16.5" customHeight="1">
      <c r="A7" s="49" t="str">
        <f>District!B16</f>
        <v>2009-10</v>
      </c>
      <c r="B7" s="385">
        <v>564</v>
      </c>
      <c r="C7" s="280">
        <v>24</v>
      </c>
      <c r="D7" s="386">
        <v>1</v>
      </c>
      <c r="E7" s="372">
        <v>25</v>
      </c>
      <c r="F7" s="329">
        <v>2550</v>
      </c>
      <c r="G7" s="386">
        <v>14046</v>
      </c>
      <c r="H7" s="631">
        <v>2429</v>
      </c>
      <c r="I7" s="386">
        <v>86962</v>
      </c>
    </row>
    <row r="8" spans="1:9" ht="16.5" customHeight="1">
      <c r="A8" s="49" t="str">
        <f>District!B17</f>
        <v>2010-11</v>
      </c>
      <c r="B8" s="90">
        <v>564</v>
      </c>
      <c r="C8" s="280">
        <v>24</v>
      </c>
      <c r="D8" s="280">
        <v>1</v>
      </c>
      <c r="E8" s="372">
        <v>25</v>
      </c>
      <c r="F8" s="329">
        <v>1118</v>
      </c>
      <c r="G8" s="280">
        <v>15909</v>
      </c>
      <c r="H8" s="329">
        <v>2768</v>
      </c>
      <c r="I8" s="280">
        <v>91226</v>
      </c>
    </row>
    <row r="9" spans="1:9" ht="16.5" customHeight="1">
      <c r="A9" s="49" t="str">
        <f>District!B18</f>
        <v>2011-12</v>
      </c>
      <c r="B9" s="90">
        <v>564</v>
      </c>
      <c r="C9" s="280">
        <v>25</v>
      </c>
      <c r="D9" s="280" t="s">
        <v>1127</v>
      </c>
      <c r="E9" s="372">
        <v>25</v>
      </c>
      <c r="F9" s="329">
        <v>1930</v>
      </c>
      <c r="G9" s="280">
        <v>14368</v>
      </c>
      <c r="H9" s="329">
        <v>3500</v>
      </c>
      <c r="I9" s="280">
        <v>88334</v>
      </c>
    </row>
    <row r="10" spans="1:9" ht="16.5" customHeight="1">
      <c r="A10" s="49" t="str">
        <f>District!B19</f>
        <v>2012-13</v>
      </c>
      <c r="B10" s="90">
        <v>564</v>
      </c>
      <c r="C10" s="280">
        <v>25</v>
      </c>
      <c r="D10" s="280" t="s">
        <v>1127</v>
      </c>
      <c r="E10" s="372">
        <v>25</v>
      </c>
      <c r="F10" s="329">
        <v>1744</v>
      </c>
      <c r="G10" s="280">
        <v>12933</v>
      </c>
      <c r="H10" s="329">
        <v>4133</v>
      </c>
      <c r="I10" s="280">
        <v>91406</v>
      </c>
    </row>
    <row r="11" spans="1:9" ht="16.5" customHeight="1">
      <c r="A11" s="49" t="str">
        <f>District!B20</f>
        <v>2013-14</v>
      </c>
      <c r="B11" s="92">
        <f>SUM(B13,B23,B32)</f>
        <v>564</v>
      </c>
      <c r="C11" s="92">
        <f>SUM(C13,C23,C32)</f>
        <v>25</v>
      </c>
      <c r="D11" s="849" t="s">
        <v>1127</v>
      </c>
      <c r="E11" s="48">
        <f>SUM(E13,E23,E32)</f>
        <v>25</v>
      </c>
      <c r="F11" s="105">
        <f>SUM(F13,F23,F32,)</f>
        <v>1091</v>
      </c>
      <c r="G11" s="48">
        <f>SUM(G13,G23,G32,)</f>
        <v>12378</v>
      </c>
      <c r="H11" s="105">
        <f>SUM(H13,H23,H32,)</f>
        <v>4190</v>
      </c>
      <c r="I11" s="48">
        <f>SUM(I13,I23,I32,)</f>
        <v>108091</v>
      </c>
    </row>
    <row r="12" spans="1:9" ht="26.25" customHeight="1">
      <c r="A12" s="387" t="s">
        <v>1537</v>
      </c>
      <c r="B12" s="1283" t="str">
        <f>"Year :  "  &amp;  A11</f>
        <v>Year :  2013-14</v>
      </c>
      <c r="C12" s="1284"/>
      <c r="D12" s="1284"/>
      <c r="E12" s="1284"/>
      <c r="F12" s="1284"/>
      <c r="G12" s="1284"/>
      <c r="H12" s="1284"/>
      <c r="I12" s="1285"/>
    </row>
    <row r="13" spans="1:9" ht="18" customHeight="1">
      <c r="A13" s="388" t="s">
        <v>1077</v>
      </c>
      <c r="B13" s="64">
        <f>SUM(B14:B22)</f>
        <v>216</v>
      </c>
      <c r="C13" s="369">
        <v>10</v>
      </c>
      <c r="D13" s="369" t="str">
        <f>IF(SUM(D14:D22)=0,"-",SUM(D14:D22))</f>
        <v>-</v>
      </c>
      <c r="E13" s="44">
        <f>SUM(E14:E22)</f>
        <v>10</v>
      </c>
      <c r="F13" s="64">
        <v>134</v>
      </c>
      <c r="G13" s="369">
        <v>5748</v>
      </c>
      <c r="H13" s="870">
        <v>1285</v>
      </c>
      <c r="I13" s="369">
        <v>40411</v>
      </c>
    </row>
    <row r="14" spans="1:9" ht="18" customHeight="1">
      <c r="A14" s="389" t="s">
        <v>596</v>
      </c>
      <c r="B14" s="90">
        <v>18</v>
      </c>
      <c r="C14" s="90">
        <v>1</v>
      </c>
      <c r="D14" s="280" t="s">
        <v>1127</v>
      </c>
      <c r="E14" s="101">
        <f>SUM(C14,D14)</f>
        <v>1</v>
      </c>
      <c r="F14" s="1003" t="s">
        <v>1127</v>
      </c>
      <c r="G14" s="280">
        <v>399</v>
      </c>
      <c r="H14" s="329">
        <v>83</v>
      </c>
      <c r="I14" s="280">
        <v>3647</v>
      </c>
    </row>
    <row r="15" spans="1:9" ht="18" customHeight="1">
      <c r="A15" s="389" t="s">
        <v>365</v>
      </c>
      <c r="B15" s="90" t="s">
        <v>1127</v>
      </c>
      <c r="C15" s="90">
        <v>2</v>
      </c>
      <c r="D15" s="280" t="s">
        <v>1127</v>
      </c>
      <c r="E15" s="101">
        <f t="shared" ref="E15:E22" si="0">SUM(C15,D15)</f>
        <v>2</v>
      </c>
      <c r="F15" s="1003" t="s">
        <v>1127</v>
      </c>
      <c r="G15" s="280">
        <v>1944</v>
      </c>
      <c r="H15" s="329">
        <v>74</v>
      </c>
      <c r="I15" s="280">
        <v>1868</v>
      </c>
    </row>
    <row r="16" spans="1:9" ht="18" customHeight="1">
      <c r="A16" s="389" t="s">
        <v>595</v>
      </c>
      <c r="B16" s="90">
        <v>23</v>
      </c>
      <c r="C16" s="90">
        <v>1</v>
      </c>
      <c r="D16" s="280" t="s">
        <v>1127</v>
      </c>
      <c r="E16" s="101">
        <f t="shared" si="0"/>
        <v>1</v>
      </c>
      <c r="F16" s="1002" t="s">
        <v>1127</v>
      </c>
      <c r="G16" s="280">
        <v>311</v>
      </c>
      <c r="H16" s="329">
        <v>142</v>
      </c>
      <c r="I16" s="280">
        <v>3313</v>
      </c>
    </row>
    <row r="17" spans="1:9" ht="18" customHeight="1">
      <c r="A17" s="389" t="s">
        <v>597</v>
      </c>
      <c r="B17" s="90">
        <v>36</v>
      </c>
      <c r="C17" s="90">
        <v>1</v>
      </c>
      <c r="D17" s="280" t="s">
        <v>1127</v>
      </c>
      <c r="E17" s="101">
        <f t="shared" si="0"/>
        <v>1</v>
      </c>
      <c r="F17" s="1003">
        <v>132</v>
      </c>
      <c r="G17" s="280">
        <v>490</v>
      </c>
      <c r="H17" s="329">
        <v>231</v>
      </c>
      <c r="I17" s="280">
        <v>3671</v>
      </c>
    </row>
    <row r="18" spans="1:9" ht="18" customHeight="1">
      <c r="A18" s="389" t="s">
        <v>598</v>
      </c>
      <c r="B18" s="90">
        <v>23</v>
      </c>
      <c r="C18" s="90">
        <v>1</v>
      </c>
      <c r="D18" s="280" t="s">
        <v>1127</v>
      </c>
      <c r="E18" s="101">
        <f t="shared" si="0"/>
        <v>1</v>
      </c>
      <c r="F18" s="1002" t="s">
        <v>1127</v>
      </c>
      <c r="G18" s="280">
        <v>415</v>
      </c>
      <c r="H18" s="329">
        <v>85</v>
      </c>
      <c r="I18" s="280">
        <v>3223</v>
      </c>
    </row>
    <row r="19" spans="1:9" ht="18" customHeight="1">
      <c r="A19" s="389" t="s">
        <v>599</v>
      </c>
      <c r="B19" s="90">
        <v>15</v>
      </c>
      <c r="C19" s="90">
        <v>1</v>
      </c>
      <c r="D19" s="280" t="s">
        <v>1127</v>
      </c>
      <c r="E19" s="101">
        <f t="shared" si="0"/>
        <v>1</v>
      </c>
      <c r="F19" s="1003" t="s">
        <v>1127</v>
      </c>
      <c r="G19" s="280">
        <v>429</v>
      </c>
      <c r="H19" s="329">
        <v>83</v>
      </c>
      <c r="I19" s="280">
        <v>3507</v>
      </c>
    </row>
    <row r="20" spans="1:9" ht="18" customHeight="1">
      <c r="A20" s="389" t="s">
        <v>771</v>
      </c>
      <c r="B20" s="90">
        <v>30</v>
      </c>
      <c r="C20" s="90">
        <v>1</v>
      </c>
      <c r="D20" s="280" t="s">
        <v>1127</v>
      </c>
      <c r="E20" s="101">
        <f t="shared" si="0"/>
        <v>1</v>
      </c>
      <c r="F20" s="115" t="s">
        <v>1127</v>
      </c>
      <c r="G20" s="280">
        <v>543</v>
      </c>
      <c r="H20" s="329">
        <v>118</v>
      </c>
      <c r="I20" s="280">
        <v>5933</v>
      </c>
    </row>
    <row r="21" spans="1:9" ht="18" customHeight="1">
      <c r="A21" s="389" t="s">
        <v>600</v>
      </c>
      <c r="B21" s="90">
        <v>36</v>
      </c>
      <c r="C21" s="90">
        <v>1</v>
      </c>
      <c r="D21" s="280" t="s">
        <v>1127</v>
      </c>
      <c r="E21" s="101">
        <f t="shared" si="0"/>
        <v>1</v>
      </c>
      <c r="F21" s="115" t="s">
        <v>1127</v>
      </c>
      <c r="G21" s="280">
        <v>554</v>
      </c>
      <c r="H21" s="329">
        <v>113</v>
      </c>
      <c r="I21" s="280">
        <v>4323</v>
      </c>
    </row>
    <row r="22" spans="1:9" ht="18" customHeight="1">
      <c r="A22" s="389" t="s">
        <v>602</v>
      </c>
      <c r="B22" s="90">
        <v>35</v>
      </c>
      <c r="C22" s="90">
        <v>1</v>
      </c>
      <c r="D22" s="280" t="s">
        <v>1127</v>
      </c>
      <c r="E22" s="101">
        <f t="shared" si="0"/>
        <v>1</v>
      </c>
      <c r="F22" s="390">
        <v>2</v>
      </c>
      <c r="G22" s="280">
        <v>663</v>
      </c>
      <c r="H22" s="329">
        <v>356</v>
      </c>
      <c r="I22" s="280">
        <v>10926</v>
      </c>
    </row>
    <row r="23" spans="1:9" ht="18" customHeight="1">
      <c r="A23" s="388" t="s">
        <v>273</v>
      </c>
      <c r="B23" s="64">
        <f>SUM(B24:B31)</f>
        <v>192</v>
      </c>
      <c r="C23" s="64">
        <v>8</v>
      </c>
      <c r="D23" s="848" t="s">
        <v>1127</v>
      </c>
      <c r="E23" s="64">
        <f>SUM(E24:E31)</f>
        <v>8</v>
      </c>
      <c r="F23" s="64">
        <v>5</v>
      </c>
      <c r="G23" s="43">
        <v>3406</v>
      </c>
      <c r="H23" s="275">
        <v>1414</v>
      </c>
      <c r="I23" s="43">
        <v>36212</v>
      </c>
    </row>
    <row r="24" spans="1:9" ht="18" customHeight="1">
      <c r="A24" s="389" t="s">
        <v>605</v>
      </c>
      <c r="B24" s="90">
        <v>27</v>
      </c>
      <c r="C24" s="90">
        <v>1</v>
      </c>
      <c r="D24" s="280" t="s">
        <v>1127</v>
      </c>
      <c r="E24" s="89">
        <f>SUM(C24,D24)</f>
        <v>1</v>
      </c>
      <c r="F24" s="298">
        <v>3</v>
      </c>
      <c r="G24" s="280">
        <v>698</v>
      </c>
      <c r="H24" s="329">
        <v>327</v>
      </c>
      <c r="I24" s="280">
        <v>7343</v>
      </c>
    </row>
    <row r="25" spans="1:9" ht="18" customHeight="1">
      <c r="A25" s="389" t="s">
        <v>604</v>
      </c>
      <c r="B25" s="90">
        <v>24</v>
      </c>
      <c r="C25" s="90">
        <v>1</v>
      </c>
      <c r="D25" s="280" t="s">
        <v>1127</v>
      </c>
      <c r="E25" s="89">
        <f t="shared" ref="E25:E31" si="1">SUM(C25,D25)</f>
        <v>1</v>
      </c>
      <c r="F25" s="1002">
        <v>1</v>
      </c>
      <c r="G25" s="280">
        <v>418</v>
      </c>
      <c r="H25" s="329">
        <v>197</v>
      </c>
      <c r="I25" s="280">
        <v>3794</v>
      </c>
    </row>
    <row r="26" spans="1:9" ht="18" customHeight="1">
      <c r="A26" s="389" t="s">
        <v>368</v>
      </c>
      <c r="B26" s="90">
        <v>18</v>
      </c>
      <c r="C26" s="90">
        <v>1</v>
      </c>
      <c r="D26" s="280" t="s">
        <v>1127</v>
      </c>
      <c r="E26" s="89">
        <f t="shared" si="1"/>
        <v>1</v>
      </c>
      <c r="F26" s="1002" t="s">
        <v>1127</v>
      </c>
      <c r="G26" s="280">
        <v>179</v>
      </c>
      <c r="H26" s="329">
        <v>129</v>
      </c>
      <c r="I26" s="280">
        <v>1918</v>
      </c>
    </row>
    <row r="27" spans="1:9" ht="18" customHeight="1">
      <c r="A27" s="389" t="s">
        <v>606</v>
      </c>
      <c r="B27" s="90">
        <v>26</v>
      </c>
      <c r="C27" s="90">
        <v>1</v>
      </c>
      <c r="D27" s="280" t="s">
        <v>1127</v>
      </c>
      <c r="E27" s="89">
        <f t="shared" si="1"/>
        <v>1</v>
      </c>
      <c r="F27" s="1002">
        <v>1</v>
      </c>
      <c r="G27" s="280">
        <v>180</v>
      </c>
      <c r="H27" s="329">
        <v>182</v>
      </c>
      <c r="I27" s="280">
        <v>6774</v>
      </c>
    </row>
    <row r="28" spans="1:9" ht="18" customHeight="1">
      <c r="A28" s="389" t="s">
        <v>347</v>
      </c>
      <c r="B28" s="90">
        <v>26</v>
      </c>
      <c r="C28" s="90">
        <v>1</v>
      </c>
      <c r="D28" s="280" t="s">
        <v>1127</v>
      </c>
      <c r="E28" s="89">
        <f t="shared" si="1"/>
        <v>1</v>
      </c>
      <c r="F28" s="1002" t="s">
        <v>1127</v>
      </c>
      <c r="G28" s="280">
        <v>506</v>
      </c>
      <c r="H28" s="329">
        <v>137</v>
      </c>
      <c r="I28" s="280">
        <v>2956</v>
      </c>
    </row>
    <row r="29" spans="1:9" ht="18" customHeight="1">
      <c r="A29" s="389" t="s">
        <v>369</v>
      </c>
      <c r="B29" s="90">
        <v>21</v>
      </c>
      <c r="C29" s="90">
        <v>1</v>
      </c>
      <c r="D29" s="280" t="s">
        <v>1127</v>
      </c>
      <c r="E29" s="89">
        <f t="shared" si="1"/>
        <v>1</v>
      </c>
      <c r="F29" s="1002" t="s">
        <v>1127</v>
      </c>
      <c r="G29" s="391">
        <v>474</v>
      </c>
      <c r="H29" s="329">
        <v>150</v>
      </c>
      <c r="I29" s="280">
        <v>7559</v>
      </c>
    </row>
    <row r="30" spans="1:9" ht="18" customHeight="1">
      <c r="A30" s="389" t="s">
        <v>349</v>
      </c>
      <c r="B30" s="90">
        <v>33</v>
      </c>
      <c r="C30" s="90">
        <v>1</v>
      </c>
      <c r="D30" s="280" t="s">
        <v>1127</v>
      </c>
      <c r="E30" s="89">
        <f t="shared" si="1"/>
        <v>1</v>
      </c>
      <c r="F30" s="1002" t="s">
        <v>1127</v>
      </c>
      <c r="G30" s="280">
        <v>559</v>
      </c>
      <c r="H30" s="329">
        <v>210</v>
      </c>
      <c r="I30" s="280">
        <v>3659</v>
      </c>
    </row>
    <row r="31" spans="1:9" ht="18" customHeight="1">
      <c r="A31" s="389" t="s">
        <v>370</v>
      </c>
      <c r="B31" s="90">
        <v>17</v>
      </c>
      <c r="C31" s="90">
        <v>1</v>
      </c>
      <c r="D31" s="280" t="s">
        <v>1127</v>
      </c>
      <c r="E31" s="89">
        <f t="shared" si="1"/>
        <v>1</v>
      </c>
      <c r="F31" s="1002" t="s">
        <v>1127</v>
      </c>
      <c r="G31" s="280">
        <v>392</v>
      </c>
      <c r="H31" s="329">
        <v>82</v>
      </c>
      <c r="I31" s="280">
        <v>2209</v>
      </c>
    </row>
    <row r="32" spans="1:9" ht="18" customHeight="1">
      <c r="A32" s="394" t="s">
        <v>372</v>
      </c>
      <c r="B32" s="64">
        <f>SUM(B33:B40)</f>
        <v>156</v>
      </c>
      <c r="C32" s="64">
        <v>7</v>
      </c>
      <c r="D32" s="43" t="str">
        <f>IF(SUM(D33:D40)=0,"-",SUM(D33:D40))</f>
        <v>-</v>
      </c>
      <c r="E32" s="64">
        <v>7</v>
      </c>
      <c r="F32" s="64">
        <v>952</v>
      </c>
      <c r="G32" s="43">
        <v>3224</v>
      </c>
      <c r="H32" s="275">
        <v>1491</v>
      </c>
      <c r="I32" s="43">
        <v>31468</v>
      </c>
    </row>
    <row r="33" spans="1:9" ht="18" customHeight="1">
      <c r="A33" s="389" t="s">
        <v>350</v>
      </c>
      <c r="B33" s="90">
        <v>22</v>
      </c>
      <c r="C33" s="49">
        <v>1</v>
      </c>
      <c r="D33" s="280" t="s">
        <v>1127</v>
      </c>
      <c r="E33" s="89">
        <f>SUM(C33,D33)</f>
        <v>1</v>
      </c>
      <c r="F33" s="390">
        <v>599</v>
      </c>
      <c r="G33" s="391">
        <v>409</v>
      </c>
      <c r="H33" s="329">
        <v>146</v>
      </c>
      <c r="I33" s="280">
        <v>3883</v>
      </c>
    </row>
    <row r="34" spans="1:9" ht="18" customHeight="1">
      <c r="A34" s="389" t="s">
        <v>356</v>
      </c>
      <c r="B34" s="90" t="s">
        <v>1127</v>
      </c>
      <c r="C34" s="49">
        <v>1</v>
      </c>
      <c r="D34" s="280" t="s">
        <v>1127</v>
      </c>
      <c r="E34" s="89">
        <f>SUM(C34,D34)</f>
        <v>1</v>
      </c>
      <c r="F34" s="115" t="s">
        <v>1127</v>
      </c>
      <c r="G34" s="280">
        <v>344</v>
      </c>
      <c r="H34" s="329">
        <v>240</v>
      </c>
      <c r="I34" s="280">
        <v>1956</v>
      </c>
    </row>
    <row r="35" spans="1:9" ht="18" customHeight="1">
      <c r="A35" s="389" t="s">
        <v>351</v>
      </c>
      <c r="B35" s="90">
        <v>25</v>
      </c>
      <c r="C35" s="52">
        <v>1</v>
      </c>
      <c r="D35" s="280" t="s">
        <v>1127</v>
      </c>
      <c r="E35" s="89">
        <f>SUM(C35,D35)</f>
        <v>1</v>
      </c>
      <c r="F35" s="298">
        <v>4</v>
      </c>
      <c r="G35" s="280">
        <v>350</v>
      </c>
      <c r="H35" s="329">
        <v>157</v>
      </c>
      <c r="I35" s="280">
        <v>1777</v>
      </c>
    </row>
    <row r="36" spans="1:9" ht="18" customHeight="1">
      <c r="A36" s="389" t="s">
        <v>352</v>
      </c>
      <c r="B36" s="90">
        <v>31</v>
      </c>
      <c r="C36" s="49">
        <v>1</v>
      </c>
      <c r="D36" s="280" t="s">
        <v>1127</v>
      </c>
      <c r="E36" s="89">
        <f>SUM(C36,D36)</f>
        <v>1</v>
      </c>
      <c r="F36" s="298">
        <v>3</v>
      </c>
      <c r="G36" s="280">
        <v>466</v>
      </c>
      <c r="H36" s="329">
        <v>266</v>
      </c>
      <c r="I36" s="280">
        <v>8411</v>
      </c>
    </row>
    <row r="37" spans="1:9" ht="18" customHeight="1">
      <c r="A37" s="370" t="s">
        <v>353</v>
      </c>
      <c r="B37" s="1079">
        <v>26</v>
      </c>
      <c r="C37" s="1076">
        <v>1</v>
      </c>
      <c r="D37" s="1074" t="s">
        <v>1127</v>
      </c>
      <c r="E37" s="1077">
        <v>1</v>
      </c>
      <c r="F37" s="1075">
        <v>1</v>
      </c>
      <c r="G37" s="1074">
        <v>676</v>
      </c>
      <c r="H37" s="1074">
        <v>141</v>
      </c>
      <c r="I37" s="1074">
        <v>5786</v>
      </c>
    </row>
    <row r="38" spans="1:9" ht="18" customHeight="1">
      <c r="A38" s="370" t="s">
        <v>362</v>
      </c>
      <c r="B38" s="1080" t="s">
        <v>1127</v>
      </c>
      <c r="C38" s="1076" t="s">
        <v>1127</v>
      </c>
      <c r="D38" s="1076" t="s">
        <v>1127</v>
      </c>
      <c r="E38" s="1081" t="s">
        <v>1127</v>
      </c>
      <c r="F38" s="1078">
        <v>345</v>
      </c>
      <c r="G38" s="1076" t="s">
        <v>1127</v>
      </c>
      <c r="H38" s="1076" t="s">
        <v>1127</v>
      </c>
      <c r="I38" s="1076" t="s">
        <v>1127</v>
      </c>
    </row>
    <row r="39" spans="1:9" ht="18" customHeight="1">
      <c r="A39" s="389" t="s">
        <v>354</v>
      </c>
      <c r="B39" s="90">
        <v>27</v>
      </c>
      <c r="C39" s="1002">
        <v>1</v>
      </c>
      <c r="D39" s="280" t="s">
        <v>1127</v>
      </c>
      <c r="E39" s="89">
        <f>SUM(C39,D39)</f>
        <v>1</v>
      </c>
      <c r="F39" s="1003" t="s">
        <v>1127</v>
      </c>
      <c r="G39" s="1002">
        <v>441</v>
      </c>
      <c r="H39" s="329">
        <v>242</v>
      </c>
      <c r="I39" s="280">
        <v>7177</v>
      </c>
    </row>
    <row r="40" spans="1:9" ht="18" customHeight="1">
      <c r="A40" s="392" t="s">
        <v>355</v>
      </c>
      <c r="B40" s="92">
        <v>25</v>
      </c>
      <c r="C40" s="48">
        <v>1</v>
      </c>
      <c r="D40" s="294" t="s">
        <v>1127</v>
      </c>
      <c r="E40" s="935">
        <f>SUM(C40,D40)</f>
        <v>1</v>
      </c>
      <c r="F40" s="1004" t="s">
        <v>1127</v>
      </c>
      <c r="G40" s="294">
        <v>538</v>
      </c>
      <c r="H40" s="354">
        <v>299</v>
      </c>
      <c r="I40" s="294">
        <v>2478</v>
      </c>
    </row>
    <row r="41" spans="1:9" ht="12" customHeight="1">
      <c r="A41" s="727" t="s">
        <v>1716</v>
      </c>
      <c r="B41" s="377"/>
      <c r="C41" s="378"/>
      <c r="D41" s="378"/>
      <c r="F41" s="725" t="s">
        <v>487</v>
      </c>
      <c r="G41" s="726" t="s">
        <v>798</v>
      </c>
      <c r="H41" s="377"/>
      <c r="I41" s="377"/>
    </row>
    <row r="42" spans="1:9" ht="12" customHeight="1">
      <c r="A42" s="727" t="s">
        <v>1717</v>
      </c>
      <c r="B42" s="378"/>
      <c r="C42" s="378"/>
      <c r="D42" s="378"/>
      <c r="F42" s="725" t="s">
        <v>488</v>
      </c>
      <c r="G42" s="726" t="s">
        <v>1434</v>
      </c>
      <c r="H42" s="377"/>
      <c r="I42" s="377"/>
    </row>
    <row r="43" spans="1:9" ht="12" customHeight="1">
      <c r="A43" s="727" t="s">
        <v>1718</v>
      </c>
      <c r="B43" s="378"/>
      <c r="C43" s="378"/>
      <c r="D43" s="378"/>
      <c r="F43" s="725"/>
      <c r="G43" s="727" t="s">
        <v>1435</v>
      </c>
      <c r="H43" s="377"/>
      <c r="I43" s="377"/>
    </row>
    <row r="44" spans="1:9" ht="12" customHeight="1">
      <c r="A44" s="378"/>
      <c r="B44" s="378"/>
      <c r="C44" s="378"/>
      <c r="D44" s="378"/>
      <c r="F44" s="725" t="s">
        <v>497</v>
      </c>
      <c r="G44" s="726" t="s">
        <v>799</v>
      </c>
      <c r="H44" s="266"/>
      <c r="I44" s="266"/>
    </row>
    <row r="45" spans="1:9" ht="12" customHeight="1">
      <c r="A45" s="378"/>
      <c r="B45" s="378"/>
      <c r="C45" s="378"/>
      <c r="D45" s="378"/>
      <c r="E45" s="378"/>
      <c r="F45" s="726"/>
      <c r="G45" s="516"/>
      <c r="H45" s="266"/>
      <c r="I45" s="266"/>
    </row>
    <row r="46" spans="1:9" ht="12.4" customHeight="1">
      <c r="A46" s="378"/>
      <c r="B46" s="378"/>
      <c r="C46" s="378"/>
      <c r="D46" s="378"/>
      <c r="E46" s="378"/>
      <c r="F46" s="378"/>
      <c r="G46" s="378"/>
      <c r="H46" s="378"/>
      <c r="I46" s="378"/>
    </row>
  </sheetData>
  <mergeCells count="7">
    <mergeCell ref="B12:I12"/>
    <mergeCell ref="A1:I1"/>
    <mergeCell ref="A2:I2"/>
    <mergeCell ref="C4:E4"/>
    <mergeCell ref="F4:I4"/>
    <mergeCell ref="A4:A5"/>
    <mergeCell ref="B4:B5"/>
  </mergeCells>
  <phoneticPr fontId="0" type="noConversion"/>
  <conditionalFormatting sqref="A41:A43">
    <cfRule type="cellIs" dxfId="14" priority="2" stopIfTrue="1" operator="equal">
      <formula>".."</formula>
    </cfRule>
  </conditionalFormatting>
  <conditionalFormatting sqref="A41:A43">
    <cfRule type="cellIs" dxfId="13" priority="1" stopIfTrue="1" operator="equal">
      <formula>".."</formula>
    </cfRule>
  </conditionalFormatting>
  <printOptions horizontalCentered="1"/>
  <pageMargins left="0.1" right="0.1" top="0.68" bottom="0.1" header="0.53" footer="0.1"/>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sheetPr codeName="Sheet24"/>
  <dimension ref="A1:F45"/>
  <sheetViews>
    <sheetView topLeftCell="A31" workbookViewId="0">
      <selection activeCell="M30" sqref="M30"/>
    </sheetView>
  </sheetViews>
  <sheetFormatPr defaultRowHeight="12.4" customHeight="1"/>
  <cols>
    <col min="1" max="1" width="23.85546875" style="172" customWidth="1"/>
    <col min="2" max="6" width="12.5703125" style="172" customWidth="1"/>
    <col min="7" max="16384" width="9.140625" style="172"/>
  </cols>
  <sheetData>
    <row r="1" spans="1:6" ht="13.5" customHeight="1">
      <c r="A1" s="1181" t="s">
        <v>1591</v>
      </c>
      <c r="B1" s="1181"/>
      <c r="C1" s="1181"/>
      <c r="D1" s="1181"/>
      <c r="E1" s="1181"/>
      <c r="F1" s="1181"/>
    </row>
    <row r="2" spans="1:6" s="206" customFormat="1" ht="35.25" customHeight="1">
      <c r="A2" s="1226" t="str">
        <f>CONCATENATE("Achievement of Universal Immunization Programme
 in the district of ",District!$A$1)</f>
        <v>Achievement of Universal Immunization Programme
 in the district of Bankura</v>
      </c>
      <c r="B2" s="1226"/>
      <c r="C2" s="1226"/>
      <c r="D2" s="1226"/>
      <c r="E2" s="1226"/>
      <c r="F2" s="1226"/>
    </row>
    <row r="3" spans="1:6" ht="12" customHeight="1">
      <c r="A3" s="259"/>
      <c r="B3" s="260"/>
      <c r="C3" s="260"/>
      <c r="D3" s="260"/>
      <c r="E3" s="260"/>
      <c r="F3" s="114" t="s">
        <v>452</v>
      </c>
    </row>
    <row r="4" spans="1:6" ht="15.95" customHeight="1">
      <c r="A4" s="207" t="s">
        <v>304</v>
      </c>
      <c r="B4" s="117" t="s">
        <v>624</v>
      </c>
      <c r="C4" s="58" t="s">
        <v>625</v>
      </c>
      <c r="D4" s="220" t="s">
        <v>626</v>
      </c>
      <c r="E4" s="58" t="s">
        <v>627</v>
      </c>
      <c r="F4" s="210" t="s">
        <v>628</v>
      </c>
    </row>
    <row r="5" spans="1:6" ht="15.95" customHeight="1">
      <c r="A5" s="213" t="s">
        <v>418</v>
      </c>
      <c r="B5" s="221" t="s">
        <v>419</v>
      </c>
      <c r="C5" s="213" t="s">
        <v>420</v>
      </c>
      <c r="D5" s="222" t="s">
        <v>421</v>
      </c>
      <c r="E5" s="213" t="s">
        <v>422</v>
      </c>
      <c r="F5" s="214" t="s">
        <v>423</v>
      </c>
    </row>
    <row r="6" spans="1:6" ht="15.95" customHeight="1">
      <c r="A6" s="33" t="str">
        <f>District!B16</f>
        <v>2009-10</v>
      </c>
      <c r="B6" s="246">
        <v>58287</v>
      </c>
      <c r="C6" s="183">
        <v>68317</v>
      </c>
      <c r="D6" s="189">
        <v>62537</v>
      </c>
      <c r="E6" s="33">
        <v>65052</v>
      </c>
      <c r="F6" s="184">
        <v>61891</v>
      </c>
    </row>
    <row r="7" spans="1:6" ht="15.95" customHeight="1">
      <c r="A7" s="33" t="str">
        <f>District!B17</f>
        <v>2010-11</v>
      </c>
      <c r="B7" s="189">
        <v>62218</v>
      </c>
      <c r="C7" s="183">
        <v>59908</v>
      </c>
      <c r="D7" s="189">
        <v>58947</v>
      </c>
      <c r="E7" s="33">
        <v>65987</v>
      </c>
      <c r="F7" s="184">
        <v>57640</v>
      </c>
    </row>
    <row r="8" spans="1:6" ht="15.95" customHeight="1">
      <c r="A8" s="33" t="str">
        <f>District!B18</f>
        <v>2011-12</v>
      </c>
      <c r="B8" s="183">
        <v>63647</v>
      </c>
      <c r="C8" s="183">
        <v>61386</v>
      </c>
      <c r="D8" s="183">
        <v>56084</v>
      </c>
      <c r="E8" s="183">
        <v>71204</v>
      </c>
      <c r="F8" s="183">
        <v>58732</v>
      </c>
    </row>
    <row r="9" spans="1:6" ht="15.95" customHeight="1">
      <c r="A9" s="33" t="str">
        <f>District!B19</f>
        <v>2012-13</v>
      </c>
      <c r="B9" s="183">
        <v>54924</v>
      </c>
      <c r="C9" s="183">
        <v>58826</v>
      </c>
      <c r="D9" s="183">
        <v>58935</v>
      </c>
      <c r="E9" s="183">
        <v>60326</v>
      </c>
      <c r="F9" s="183">
        <v>62690</v>
      </c>
    </row>
    <row r="10" spans="1:6" ht="15.95" customHeight="1">
      <c r="A10" s="56" t="str">
        <f>District!B20</f>
        <v>2013-14</v>
      </c>
      <c r="B10" s="41">
        <f>SUM(B12,B22,B31)</f>
        <v>57549</v>
      </c>
      <c r="C10" s="41">
        <f>SUM(C12,C22,C31)</f>
        <v>54695</v>
      </c>
      <c r="D10" s="41">
        <f>SUM(D12,D22,D31)</f>
        <v>55825</v>
      </c>
      <c r="E10" s="42">
        <f>SUM(E12,E22,E31)</f>
        <v>59877</v>
      </c>
      <c r="F10" s="42">
        <f>SUM(F12,F22,F31)</f>
        <v>53752</v>
      </c>
    </row>
    <row r="11" spans="1:6" ht="24" customHeight="1">
      <c r="A11" s="211" t="s">
        <v>1537</v>
      </c>
      <c r="B11" s="1305" t="str">
        <f>"Year : " &amp; A10</f>
        <v>Year : 2013-14</v>
      </c>
      <c r="C11" s="1306"/>
      <c r="D11" s="1306"/>
      <c r="E11" s="1306"/>
      <c r="F11" s="1199"/>
    </row>
    <row r="12" spans="1:6" ht="18" customHeight="1">
      <c r="A12" s="394" t="s">
        <v>717</v>
      </c>
      <c r="B12" s="73">
        <v>22826</v>
      </c>
      <c r="C12" s="34">
        <v>22162</v>
      </c>
      <c r="D12" s="11">
        <v>22546</v>
      </c>
      <c r="E12" s="34">
        <v>30539</v>
      </c>
      <c r="F12" s="28">
        <v>21952</v>
      </c>
    </row>
    <row r="13" spans="1:6" ht="18" customHeight="1">
      <c r="A13" s="395" t="s">
        <v>596</v>
      </c>
      <c r="B13" s="246">
        <v>1707</v>
      </c>
      <c r="C13" s="183">
        <v>1475</v>
      </c>
      <c r="D13" s="302">
        <v>1545</v>
      </c>
      <c r="E13" s="183">
        <v>522</v>
      </c>
      <c r="F13" s="184">
        <v>1466</v>
      </c>
    </row>
    <row r="14" spans="1:6" ht="18" customHeight="1">
      <c r="A14" s="395" t="s">
        <v>365</v>
      </c>
      <c r="B14" s="246">
        <v>1464</v>
      </c>
      <c r="C14" s="183">
        <v>2199</v>
      </c>
      <c r="D14" s="189">
        <v>2185</v>
      </c>
      <c r="E14" s="183">
        <v>18058</v>
      </c>
      <c r="F14" s="184">
        <v>2382</v>
      </c>
    </row>
    <row r="15" spans="1:6" ht="18" customHeight="1">
      <c r="A15" s="395" t="s">
        <v>595</v>
      </c>
      <c r="B15" s="246">
        <v>2024</v>
      </c>
      <c r="C15" s="183">
        <v>2046</v>
      </c>
      <c r="D15" s="189">
        <v>2109</v>
      </c>
      <c r="E15" s="183">
        <v>741</v>
      </c>
      <c r="F15" s="184">
        <v>1960</v>
      </c>
    </row>
    <row r="16" spans="1:6" ht="18" customHeight="1">
      <c r="A16" s="395" t="s">
        <v>597</v>
      </c>
      <c r="B16" s="246">
        <v>3149</v>
      </c>
      <c r="C16" s="183">
        <v>2878</v>
      </c>
      <c r="D16" s="189">
        <v>2893</v>
      </c>
      <c r="E16" s="183">
        <v>1865</v>
      </c>
      <c r="F16" s="184">
        <v>2848</v>
      </c>
    </row>
    <row r="17" spans="1:6" ht="18" customHeight="1">
      <c r="A17" s="395" t="s">
        <v>598</v>
      </c>
      <c r="B17" s="246">
        <v>2353</v>
      </c>
      <c r="C17" s="183">
        <v>2053</v>
      </c>
      <c r="D17" s="189">
        <v>2133</v>
      </c>
      <c r="E17" s="183">
        <v>1854</v>
      </c>
      <c r="F17" s="184">
        <v>2034</v>
      </c>
    </row>
    <row r="18" spans="1:6" ht="18" customHeight="1">
      <c r="A18" s="395" t="s">
        <v>599</v>
      </c>
      <c r="B18" s="246">
        <v>1445</v>
      </c>
      <c r="C18" s="183">
        <v>1458</v>
      </c>
      <c r="D18" s="189">
        <v>1428</v>
      </c>
      <c r="E18" s="183">
        <v>1366</v>
      </c>
      <c r="F18" s="184">
        <v>1489</v>
      </c>
    </row>
    <row r="19" spans="1:6" ht="18" customHeight="1">
      <c r="A19" s="395" t="s">
        <v>771</v>
      </c>
      <c r="B19" s="246">
        <v>2940</v>
      </c>
      <c r="C19" s="183">
        <v>2817</v>
      </c>
      <c r="D19" s="189">
        <v>2799</v>
      </c>
      <c r="E19" s="183">
        <v>1598</v>
      </c>
      <c r="F19" s="184">
        <v>2692</v>
      </c>
    </row>
    <row r="20" spans="1:6" ht="18" customHeight="1">
      <c r="A20" s="395" t="s">
        <v>600</v>
      </c>
      <c r="B20" s="246">
        <v>3080</v>
      </c>
      <c r="C20" s="183">
        <v>2968</v>
      </c>
      <c r="D20" s="189">
        <v>3020</v>
      </c>
      <c r="E20" s="183">
        <v>1786</v>
      </c>
      <c r="F20" s="184">
        <v>2898</v>
      </c>
    </row>
    <row r="21" spans="1:6" ht="18" customHeight="1">
      <c r="A21" s="395" t="s">
        <v>602</v>
      </c>
      <c r="B21" s="246">
        <v>4664</v>
      </c>
      <c r="C21" s="183">
        <v>4268</v>
      </c>
      <c r="D21" s="189">
        <v>4434</v>
      </c>
      <c r="E21" s="183">
        <v>2749</v>
      </c>
      <c r="F21" s="184">
        <v>4183</v>
      </c>
    </row>
    <row r="22" spans="1:6" ht="18" customHeight="1">
      <c r="A22" s="394" t="s">
        <v>366</v>
      </c>
      <c r="B22" s="73">
        <v>16633</v>
      </c>
      <c r="C22" s="34">
        <v>15422</v>
      </c>
      <c r="D22" s="34">
        <v>15604</v>
      </c>
      <c r="E22" s="34">
        <v>13155</v>
      </c>
      <c r="F22" s="28">
        <v>15321</v>
      </c>
    </row>
    <row r="23" spans="1:6" ht="18" customHeight="1">
      <c r="A23" s="395" t="s">
        <v>605</v>
      </c>
      <c r="B23" s="246">
        <v>2441</v>
      </c>
      <c r="C23" s="183">
        <v>2290</v>
      </c>
      <c r="D23" s="189">
        <v>2333</v>
      </c>
      <c r="E23" s="33">
        <v>1950</v>
      </c>
      <c r="F23" s="184">
        <v>2224</v>
      </c>
    </row>
    <row r="24" spans="1:6" ht="18" customHeight="1">
      <c r="A24" s="395" t="s">
        <v>604</v>
      </c>
      <c r="B24" s="246">
        <v>1718</v>
      </c>
      <c r="C24" s="183">
        <v>1614</v>
      </c>
      <c r="D24" s="189">
        <v>1615</v>
      </c>
      <c r="E24" s="183">
        <v>1697</v>
      </c>
      <c r="F24" s="184">
        <v>1630</v>
      </c>
    </row>
    <row r="25" spans="1:6" ht="18" customHeight="1">
      <c r="A25" s="395" t="s">
        <v>368</v>
      </c>
      <c r="B25" s="246">
        <v>1425</v>
      </c>
      <c r="C25" s="183">
        <v>1276</v>
      </c>
      <c r="D25" s="189">
        <v>1296</v>
      </c>
      <c r="E25" s="183">
        <v>1069</v>
      </c>
      <c r="F25" s="184">
        <v>1213</v>
      </c>
    </row>
    <row r="26" spans="1:6" ht="18" customHeight="1">
      <c r="A26" s="395" t="s">
        <v>606</v>
      </c>
      <c r="B26" s="246">
        <v>1905</v>
      </c>
      <c r="C26" s="183">
        <v>1691</v>
      </c>
      <c r="D26" s="189">
        <v>1669</v>
      </c>
      <c r="E26" s="183">
        <v>1194</v>
      </c>
      <c r="F26" s="184">
        <v>1794</v>
      </c>
    </row>
    <row r="27" spans="1:6" ht="18" customHeight="1">
      <c r="A27" s="395" t="s">
        <v>347</v>
      </c>
      <c r="B27" s="246">
        <v>2395</v>
      </c>
      <c r="C27" s="183">
        <v>2172</v>
      </c>
      <c r="D27" s="189">
        <v>2172</v>
      </c>
      <c r="E27" s="183">
        <v>2291</v>
      </c>
      <c r="F27" s="184">
        <v>2150</v>
      </c>
    </row>
    <row r="28" spans="1:6" ht="18" customHeight="1">
      <c r="A28" s="395" t="s">
        <v>369</v>
      </c>
      <c r="B28" s="246">
        <v>2317</v>
      </c>
      <c r="C28" s="183">
        <v>2227</v>
      </c>
      <c r="D28" s="189">
        <v>2351</v>
      </c>
      <c r="E28" s="183">
        <v>1917</v>
      </c>
      <c r="F28" s="184">
        <v>2179</v>
      </c>
    </row>
    <row r="29" spans="1:6" ht="18" customHeight="1">
      <c r="A29" s="395" t="s">
        <v>349</v>
      </c>
      <c r="B29" s="246">
        <v>2659</v>
      </c>
      <c r="C29" s="183">
        <v>2516</v>
      </c>
      <c r="D29" s="189">
        <v>2527</v>
      </c>
      <c r="E29" s="183">
        <v>1647</v>
      </c>
      <c r="F29" s="184">
        <v>2500</v>
      </c>
    </row>
    <row r="30" spans="1:6" ht="18" customHeight="1">
      <c r="A30" s="395" t="s">
        <v>370</v>
      </c>
      <c r="B30" s="246">
        <v>1773</v>
      </c>
      <c r="C30" s="183">
        <v>1636</v>
      </c>
      <c r="D30" s="189">
        <v>1641</v>
      </c>
      <c r="E30" s="183">
        <v>1390</v>
      </c>
      <c r="F30" s="184">
        <v>1631</v>
      </c>
    </row>
    <row r="31" spans="1:6" ht="18" customHeight="1">
      <c r="A31" s="394" t="s">
        <v>371</v>
      </c>
      <c r="B31" s="73">
        <v>18090</v>
      </c>
      <c r="C31" s="34">
        <v>17111</v>
      </c>
      <c r="D31" s="11">
        <v>17675</v>
      </c>
      <c r="E31" s="34">
        <v>16183</v>
      </c>
      <c r="F31" s="34">
        <v>16479</v>
      </c>
    </row>
    <row r="32" spans="1:6" ht="18" customHeight="1">
      <c r="A32" s="395" t="s">
        <v>350</v>
      </c>
      <c r="B32" s="246">
        <v>2760</v>
      </c>
      <c r="C32" s="183">
        <v>2643</v>
      </c>
      <c r="D32" s="189">
        <v>2677</v>
      </c>
      <c r="E32" s="183">
        <v>1191</v>
      </c>
      <c r="F32" s="184">
        <v>2456</v>
      </c>
    </row>
    <row r="33" spans="1:6" ht="18" customHeight="1">
      <c r="A33" s="395" t="s">
        <v>356</v>
      </c>
      <c r="B33" s="246">
        <v>1084</v>
      </c>
      <c r="C33" s="183">
        <v>1015</v>
      </c>
      <c r="D33" s="189">
        <v>1015</v>
      </c>
      <c r="E33" s="183">
        <v>4595</v>
      </c>
      <c r="F33" s="184">
        <v>996</v>
      </c>
    </row>
    <row r="34" spans="1:6" ht="18" customHeight="1">
      <c r="A34" s="395" t="s">
        <v>351</v>
      </c>
      <c r="B34" s="246">
        <v>2469</v>
      </c>
      <c r="C34" s="183">
        <v>2277</v>
      </c>
      <c r="D34" s="189">
        <v>2307</v>
      </c>
      <c r="E34" s="183">
        <v>1220</v>
      </c>
      <c r="F34" s="184">
        <v>2237</v>
      </c>
    </row>
    <row r="35" spans="1:6" ht="18" customHeight="1">
      <c r="A35" s="395" t="s">
        <v>352</v>
      </c>
      <c r="B35" s="246">
        <v>2876</v>
      </c>
      <c r="C35" s="183">
        <v>2679</v>
      </c>
      <c r="D35" s="189">
        <v>2842</v>
      </c>
      <c r="E35" s="183">
        <v>2390</v>
      </c>
      <c r="F35" s="184">
        <v>2627</v>
      </c>
    </row>
    <row r="36" spans="1:6" ht="18" customHeight="1">
      <c r="A36" s="395" t="s">
        <v>353</v>
      </c>
      <c r="B36" s="1301">
        <v>3147</v>
      </c>
      <c r="C36" s="1302">
        <v>3011</v>
      </c>
      <c r="D36" s="1303">
        <v>3112</v>
      </c>
      <c r="E36" s="1302">
        <v>2229</v>
      </c>
      <c r="F36" s="1304">
        <v>2922</v>
      </c>
    </row>
    <row r="37" spans="1:6" ht="18" customHeight="1">
      <c r="A37" s="395" t="s">
        <v>362</v>
      </c>
      <c r="B37" s="1301"/>
      <c r="C37" s="1302"/>
      <c r="D37" s="1303"/>
      <c r="E37" s="1302"/>
      <c r="F37" s="1304"/>
    </row>
    <row r="38" spans="1:6" ht="18" customHeight="1">
      <c r="A38" s="395" t="s">
        <v>354</v>
      </c>
      <c r="B38" s="238">
        <v>3115</v>
      </c>
      <c r="C38" s="239">
        <v>2889</v>
      </c>
      <c r="D38" s="240">
        <v>2975</v>
      </c>
      <c r="E38" s="239">
        <v>2044</v>
      </c>
      <c r="F38" s="241">
        <v>2787</v>
      </c>
    </row>
    <row r="39" spans="1:6" ht="18" customHeight="1">
      <c r="A39" s="396" t="s">
        <v>355</v>
      </c>
      <c r="B39" s="247">
        <v>2639</v>
      </c>
      <c r="C39" s="248">
        <v>2597</v>
      </c>
      <c r="D39" s="227">
        <v>2747</v>
      </c>
      <c r="E39" s="248">
        <v>2514</v>
      </c>
      <c r="F39" s="194">
        <v>2454</v>
      </c>
    </row>
    <row r="40" spans="1:6" ht="15.95" customHeight="1">
      <c r="A40" s="726" t="s">
        <v>1256</v>
      </c>
      <c r="B40" s="378"/>
      <c r="C40" s="378"/>
      <c r="D40" s="393"/>
      <c r="E40" s="266"/>
      <c r="F40" s="725" t="s">
        <v>800</v>
      </c>
    </row>
    <row r="41" spans="1:6" ht="15.95" customHeight="1">
      <c r="A41" s="726" t="s">
        <v>718</v>
      </c>
      <c r="B41" s="378"/>
      <c r="C41" s="378"/>
      <c r="D41" s="378"/>
      <c r="E41" s="378"/>
      <c r="F41" s="378"/>
    </row>
    <row r="42" spans="1:6" ht="15.95" customHeight="1">
      <c r="A42" s="726" t="s">
        <v>719</v>
      </c>
      <c r="B42" s="378"/>
      <c r="C42" s="378"/>
      <c r="D42" s="378"/>
      <c r="E42" s="378"/>
      <c r="F42" s="378"/>
    </row>
    <row r="43" spans="1:6" ht="12.4" customHeight="1">
      <c r="B43" s="342"/>
      <c r="C43" s="342"/>
      <c r="D43" s="342"/>
      <c r="E43" s="342"/>
      <c r="F43" s="342"/>
    </row>
    <row r="44" spans="1:6" ht="12.4" customHeight="1">
      <c r="A44" s="378"/>
      <c r="B44" s="378"/>
      <c r="C44" s="378"/>
      <c r="D44" s="378"/>
      <c r="E44" s="378"/>
      <c r="F44" s="378"/>
    </row>
    <row r="45" spans="1:6" ht="12.4" customHeight="1">
      <c r="A45" s="268"/>
      <c r="B45" s="268"/>
      <c r="C45" s="268"/>
      <c r="D45" s="268"/>
      <c r="E45" s="268"/>
      <c r="F45" s="268"/>
    </row>
  </sheetData>
  <mergeCells count="8">
    <mergeCell ref="A1:F1"/>
    <mergeCell ref="A2:F2"/>
    <mergeCell ref="B36:B37"/>
    <mergeCell ref="C36:C37"/>
    <mergeCell ref="D36:D37"/>
    <mergeCell ref="E36:E37"/>
    <mergeCell ref="F36:F37"/>
    <mergeCell ref="B11:F11"/>
  </mergeCells>
  <phoneticPr fontId="0" type="noConversion"/>
  <printOptions horizontalCentered="1"/>
  <pageMargins left="0.1" right="0.1" top="0.68" bottom="0.1" header="0.51" footer="0.1"/>
  <pageSetup paperSize="9" orientation="portrait" blackAndWhite="1" r:id="rId1"/>
  <headerFooter alignWithMargins="0"/>
  <drawing r:id="rId2"/>
</worksheet>
</file>

<file path=xl/worksheets/sheet25.xml><?xml version="1.0" encoding="utf-8"?>
<worksheet xmlns="http://schemas.openxmlformats.org/spreadsheetml/2006/main" xmlns:r="http://schemas.openxmlformats.org/officeDocument/2006/relationships">
  <sheetPr codeName="Sheet25"/>
  <dimension ref="A1:D43"/>
  <sheetViews>
    <sheetView workbookViewId="0">
      <selection activeCell="D10" sqref="D10"/>
    </sheetView>
  </sheetViews>
  <sheetFormatPr defaultRowHeight="12.4" customHeight="1"/>
  <cols>
    <col min="1" max="1" width="22.7109375" style="268" customWidth="1"/>
    <col min="2" max="4" width="19.7109375" style="268" customWidth="1"/>
    <col min="5" max="16384" width="9.140625" style="268"/>
  </cols>
  <sheetData>
    <row r="1" spans="1:4" ht="17.25" customHeight="1">
      <c r="A1" s="1297" t="s">
        <v>1590</v>
      </c>
      <c r="B1" s="1297"/>
      <c r="C1" s="1297"/>
      <c r="D1" s="1297"/>
    </row>
    <row r="2" spans="1:4" s="379" customFormat="1" ht="32.25" customHeight="1">
      <c r="A2" s="1293" t="str">
        <f>CONCATENATE("Patients treated in Hospitals, Health Centres and  Sub-centres 
in the district of ",District!$A$1)</f>
        <v>Patients treated in Hospitals, Health Centres and  Sub-centres 
in the district of Bankura</v>
      </c>
      <c r="B2" s="1293"/>
      <c r="C2" s="1293"/>
      <c r="D2" s="1293"/>
    </row>
    <row r="3" spans="1:4" ht="12.4" customHeight="1">
      <c r="A3" s="380"/>
      <c r="B3" s="381"/>
      <c r="C3" s="381"/>
      <c r="D3" s="362" t="s">
        <v>452</v>
      </c>
    </row>
    <row r="4" spans="1:4" ht="15" customHeight="1">
      <c r="A4" s="310" t="s">
        <v>304</v>
      </c>
      <c r="B4" s="397" t="s">
        <v>629</v>
      </c>
      <c r="C4" s="382" t="s">
        <v>632</v>
      </c>
      <c r="D4" s="398" t="s">
        <v>439</v>
      </c>
    </row>
    <row r="5" spans="1:4" ht="15" customHeight="1">
      <c r="A5" s="364" t="s">
        <v>418</v>
      </c>
      <c r="B5" s="365" t="s">
        <v>419</v>
      </c>
      <c r="C5" s="364" t="s">
        <v>420</v>
      </c>
      <c r="D5" s="366" t="s">
        <v>421</v>
      </c>
    </row>
    <row r="6" spans="1:4" ht="15" customHeight="1">
      <c r="A6" s="49">
        <f>District!C16</f>
        <v>2010</v>
      </c>
      <c r="B6" s="50">
        <v>202112</v>
      </c>
      <c r="C6" s="49">
        <v>2761933</v>
      </c>
      <c r="D6" s="1160">
        <v>2964045</v>
      </c>
    </row>
    <row r="7" spans="1:4" ht="15" customHeight="1">
      <c r="A7" s="49">
        <f>District!C17</f>
        <v>2011</v>
      </c>
      <c r="B7" s="50">
        <v>222557</v>
      </c>
      <c r="C7" s="49">
        <v>5105176</v>
      </c>
      <c r="D7" s="1160">
        <v>5327733</v>
      </c>
    </row>
    <row r="8" spans="1:4" ht="15" customHeight="1">
      <c r="A8" s="49">
        <f>District!C18</f>
        <v>2012</v>
      </c>
      <c r="B8" s="50">
        <v>257196</v>
      </c>
      <c r="C8" s="49">
        <v>5101604</v>
      </c>
      <c r="D8" s="1160">
        <v>5358800</v>
      </c>
    </row>
    <row r="9" spans="1:4" ht="15" customHeight="1">
      <c r="A9" s="90">
        <f>District!C19</f>
        <v>2013</v>
      </c>
      <c r="B9" s="90">
        <v>248418</v>
      </c>
      <c r="C9" s="49">
        <v>5026717</v>
      </c>
      <c r="D9" s="101">
        <v>5275135</v>
      </c>
    </row>
    <row r="10" spans="1:4" ht="15" customHeight="1">
      <c r="A10" s="48">
        <f>District!C20</f>
        <v>2014</v>
      </c>
      <c r="B10" s="40">
        <f>SUM(B13,B23,B32)</f>
        <v>274216</v>
      </c>
      <c r="C10" s="41">
        <f>SUM(C13,C23,C32)</f>
        <v>5425769</v>
      </c>
      <c r="D10" s="41">
        <f>SUM(B10,C10)</f>
        <v>5699985</v>
      </c>
    </row>
    <row r="11" spans="1:4" ht="12.4" customHeight="1">
      <c r="A11" s="1280" t="s">
        <v>1537</v>
      </c>
      <c r="B11" s="1308" t="str">
        <f>"Year : "  &amp;A10</f>
        <v>Year : 2014</v>
      </c>
      <c r="C11" s="1308"/>
      <c r="D11" s="1309"/>
    </row>
    <row r="12" spans="1:4" ht="14.25" customHeight="1">
      <c r="A12" s="1281"/>
      <c r="B12" s="1310"/>
      <c r="C12" s="1310"/>
      <c r="D12" s="1311"/>
    </row>
    <row r="13" spans="1:4" ht="18" customHeight="1">
      <c r="A13" s="399" t="s">
        <v>717</v>
      </c>
      <c r="B13" s="93">
        <f>SUM(B14:B22)</f>
        <v>147890</v>
      </c>
      <c r="C13" s="369">
        <f>SUM(C14:C22)</f>
        <v>2634248</v>
      </c>
      <c r="D13" s="44">
        <f>SUM(B13:C13)</f>
        <v>2782138</v>
      </c>
    </row>
    <row r="14" spans="1:4" ht="18" customHeight="1">
      <c r="A14" s="400" t="s">
        <v>596</v>
      </c>
      <c r="B14" s="298">
        <v>3548</v>
      </c>
      <c r="C14" s="280">
        <v>147704</v>
      </c>
      <c r="D14" s="101">
        <f t="shared" ref="D14:D22" si="0">SUM(B14:C14)</f>
        <v>151252</v>
      </c>
    </row>
    <row r="15" spans="1:4" ht="18" customHeight="1">
      <c r="A15" s="400" t="s">
        <v>365</v>
      </c>
      <c r="B15" s="298">
        <v>112227</v>
      </c>
      <c r="C15" s="280">
        <v>1121424</v>
      </c>
      <c r="D15" s="101">
        <f t="shared" si="0"/>
        <v>1233651</v>
      </c>
    </row>
    <row r="16" spans="1:4" ht="18" customHeight="1">
      <c r="A16" s="400" t="s">
        <v>595</v>
      </c>
      <c r="B16" s="298">
        <v>1467</v>
      </c>
      <c r="C16" s="280">
        <v>126570</v>
      </c>
      <c r="D16" s="101">
        <f t="shared" si="0"/>
        <v>128037</v>
      </c>
    </row>
    <row r="17" spans="1:4" ht="18" customHeight="1">
      <c r="A17" s="400" t="s">
        <v>597</v>
      </c>
      <c r="B17" s="298">
        <v>5199</v>
      </c>
      <c r="C17" s="280">
        <v>211882</v>
      </c>
      <c r="D17" s="101">
        <f t="shared" si="0"/>
        <v>217081</v>
      </c>
    </row>
    <row r="18" spans="1:4" ht="18" customHeight="1">
      <c r="A18" s="400" t="s">
        <v>598</v>
      </c>
      <c r="B18" s="298">
        <v>5255</v>
      </c>
      <c r="C18" s="280">
        <v>142080</v>
      </c>
      <c r="D18" s="101">
        <f t="shared" si="0"/>
        <v>147335</v>
      </c>
    </row>
    <row r="19" spans="1:4" ht="18" customHeight="1">
      <c r="A19" s="400" t="s">
        <v>599</v>
      </c>
      <c r="B19" s="298">
        <v>4646</v>
      </c>
      <c r="C19" s="280">
        <v>125762</v>
      </c>
      <c r="D19" s="101">
        <f t="shared" si="0"/>
        <v>130408</v>
      </c>
    </row>
    <row r="20" spans="1:4" ht="18" customHeight="1">
      <c r="A20" s="400" t="s">
        <v>771</v>
      </c>
      <c r="B20" s="298">
        <v>6832</v>
      </c>
      <c r="C20" s="280">
        <v>260807</v>
      </c>
      <c r="D20" s="101">
        <f t="shared" si="0"/>
        <v>267639</v>
      </c>
    </row>
    <row r="21" spans="1:4" ht="18" customHeight="1">
      <c r="A21" s="400" t="s">
        <v>600</v>
      </c>
      <c r="B21" s="298">
        <v>4909</v>
      </c>
      <c r="C21" s="280">
        <v>245780</v>
      </c>
      <c r="D21" s="101">
        <f t="shared" si="0"/>
        <v>250689</v>
      </c>
    </row>
    <row r="22" spans="1:4" ht="18" customHeight="1">
      <c r="A22" s="400" t="s">
        <v>602</v>
      </c>
      <c r="B22" s="298">
        <v>3807</v>
      </c>
      <c r="C22" s="280">
        <v>252239</v>
      </c>
      <c r="D22" s="101">
        <f t="shared" si="0"/>
        <v>256046</v>
      </c>
    </row>
    <row r="23" spans="1:4" ht="18" customHeight="1">
      <c r="A23" s="399" t="s">
        <v>366</v>
      </c>
      <c r="B23" s="64">
        <f>SUM(B24:B31)</f>
        <v>58258</v>
      </c>
      <c r="C23" s="43">
        <f>SUM(C24:C31)</f>
        <v>1440172</v>
      </c>
      <c r="D23" s="44">
        <f>SUM(B23:C23)</f>
        <v>1498430</v>
      </c>
    </row>
    <row r="24" spans="1:4" ht="18" customHeight="1">
      <c r="A24" s="400" t="s">
        <v>605</v>
      </c>
      <c r="B24" s="298">
        <v>7120</v>
      </c>
      <c r="C24" s="280">
        <v>211362</v>
      </c>
      <c r="D24" s="101">
        <f t="shared" ref="D24:D31" si="1">SUM(B24:C24)</f>
        <v>218482</v>
      </c>
    </row>
    <row r="25" spans="1:4" ht="18" customHeight="1">
      <c r="A25" s="400" t="s">
        <v>604</v>
      </c>
      <c r="B25" s="298">
        <v>14144</v>
      </c>
      <c r="C25" s="280">
        <v>210024</v>
      </c>
      <c r="D25" s="101">
        <f t="shared" si="1"/>
        <v>224168</v>
      </c>
    </row>
    <row r="26" spans="1:4" ht="18" customHeight="1">
      <c r="A26" s="400" t="s">
        <v>368</v>
      </c>
      <c r="B26" s="298">
        <v>2991</v>
      </c>
      <c r="C26" s="280">
        <v>171046</v>
      </c>
      <c r="D26" s="101">
        <f t="shared" si="1"/>
        <v>174037</v>
      </c>
    </row>
    <row r="27" spans="1:4" ht="18" customHeight="1">
      <c r="A27" s="400" t="s">
        <v>606</v>
      </c>
      <c r="B27" s="298">
        <v>4708</v>
      </c>
      <c r="C27" s="280">
        <v>125317</v>
      </c>
      <c r="D27" s="101">
        <f t="shared" si="1"/>
        <v>130025</v>
      </c>
    </row>
    <row r="28" spans="1:4" ht="18" customHeight="1">
      <c r="A28" s="400" t="s">
        <v>347</v>
      </c>
      <c r="B28" s="298">
        <v>8207</v>
      </c>
      <c r="C28" s="280">
        <v>300423</v>
      </c>
      <c r="D28" s="101">
        <f t="shared" si="1"/>
        <v>308630</v>
      </c>
    </row>
    <row r="29" spans="1:4" ht="18" customHeight="1">
      <c r="A29" s="400" t="s">
        <v>369</v>
      </c>
      <c r="B29" s="298">
        <v>7419</v>
      </c>
      <c r="C29" s="280">
        <v>153615</v>
      </c>
      <c r="D29" s="101">
        <f t="shared" si="1"/>
        <v>161034</v>
      </c>
    </row>
    <row r="30" spans="1:4" ht="18" customHeight="1">
      <c r="A30" s="400" t="s">
        <v>349</v>
      </c>
      <c r="B30" s="298">
        <v>7658</v>
      </c>
      <c r="C30" s="280">
        <v>153930</v>
      </c>
      <c r="D30" s="101">
        <f t="shared" si="1"/>
        <v>161588</v>
      </c>
    </row>
    <row r="31" spans="1:4" ht="18" customHeight="1">
      <c r="A31" s="400" t="s">
        <v>370</v>
      </c>
      <c r="B31" s="298">
        <v>6011</v>
      </c>
      <c r="C31" s="280">
        <v>114455</v>
      </c>
      <c r="D31" s="101">
        <f t="shared" si="1"/>
        <v>120466</v>
      </c>
    </row>
    <row r="32" spans="1:4" ht="18" customHeight="1">
      <c r="A32" s="399" t="s">
        <v>371</v>
      </c>
      <c r="B32" s="64">
        <f>SUM(B33:B40)</f>
        <v>68068</v>
      </c>
      <c r="C32" s="43">
        <f>SUM(C33:C40)</f>
        <v>1351349</v>
      </c>
      <c r="D32" s="44">
        <f>SUM(B32:C32)</f>
        <v>1419417</v>
      </c>
    </row>
    <row r="33" spans="1:4" ht="18" customHeight="1">
      <c r="A33" s="400" t="s">
        <v>350</v>
      </c>
      <c r="B33" s="298">
        <v>2571</v>
      </c>
      <c r="C33" s="280">
        <v>206030</v>
      </c>
      <c r="D33" s="101">
        <f t="shared" ref="D33:D38" si="2">SUM(B33:C33)</f>
        <v>208601</v>
      </c>
    </row>
    <row r="34" spans="1:4" ht="18" customHeight="1">
      <c r="A34" s="400" t="s">
        <v>356</v>
      </c>
      <c r="B34" s="280">
        <v>30825</v>
      </c>
      <c r="C34" s="280">
        <v>264794</v>
      </c>
      <c r="D34" s="101">
        <f t="shared" si="2"/>
        <v>295619</v>
      </c>
    </row>
    <row r="35" spans="1:4" ht="18" customHeight="1">
      <c r="A35" s="400" t="s">
        <v>351</v>
      </c>
      <c r="B35" s="298">
        <v>2636</v>
      </c>
      <c r="C35" s="280">
        <v>100043</v>
      </c>
      <c r="D35" s="101">
        <f t="shared" si="2"/>
        <v>102679</v>
      </c>
    </row>
    <row r="36" spans="1:4" ht="18" customHeight="1">
      <c r="A36" s="400" t="s">
        <v>352</v>
      </c>
      <c r="B36" s="298">
        <v>8380</v>
      </c>
      <c r="C36" s="280">
        <v>210085</v>
      </c>
      <c r="D36" s="101">
        <f t="shared" si="2"/>
        <v>218465</v>
      </c>
    </row>
    <row r="37" spans="1:4" ht="18" customHeight="1">
      <c r="A37" s="400" t="s">
        <v>353</v>
      </c>
      <c r="B37" s="1312">
        <v>10588</v>
      </c>
      <c r="C37" s="1312">
        <v>229493</v>
      </c>
      <c r="D37" s="1313">
        <f t="shared" si="2"/>
        <v>240081</v>
      </c>
    </row>
    <row r="38" spans="1:4" ht="18" customHeight="1">
      <c r="A38" s="400" t="s">
        <v>362</v>
      </c>
      <c r="B38" s="1312"/>
      <c r="C38" s="1312"/>
      <c r="D38" s="1313">
        <f t="shared" si="2"/>
        <v>0</v>
      </c>
    </row>
    <row r="39" spans="1:4" ht="18" customHeight="1">
      <c r="A39" s="400" t="s">
        <v>354</v>
      </c>
      <c r="B39" s="298">
        <v>5229</v>
      </c>
      <c r="C39" s="280">
        <v>168175</v>
      </c>
      <c r="D39" s="49">
        <f>SUM(B39:C39)</f>
        <v>173404</v>
      </c>
    </row>
    <row r="40" spans="1:4" ht="18" customHeight="1">
      <c r="A40" s="401" t="s">
        <v>355</v>
      </c>
      <c r="B40" s="353">
        <v>7839</v>
      </c>
      <c r="C40" s="294">
        <v>172729</v>
      </c>
      <c r="D40" s="48">
        <f>SUM(B40:C40)</f>
        <v>180568</v>
      </c>
    </row>
    <row r="41" spans="1:4" ht="12.4" customHeight="1">
      <c r="A41" s="378"/>
      <c r="B41" s="725" t="s">
        <v>610</v>
      </c>
      <c r="C41" s="726" t="s">
        <v>1453</v>
      </c>
      <c r="D41" s="726"/>
    </row>
    <row r="42" spans="1:4" ht="12.4" customHeight="1">
      <c r="A42" s="378"/>
      <c r="B42" s="726"/>
      <c r="C42" s="1307" t="s">
        <v>1240</v>
      </c>
      <c r="D42" s="1307"/>
    </row>
    <row r="43" spans="1:4" ht="13.5" customHeight="1">
      <c r="A43" s="378"/>
      <c r="B43" s="726"/>
      <c r="C43" s="1307"/>
      <c r="D43" s="1307"/>
    </row>
  </sheetData>
  <mergeCells count="8">
    <mergeCell ref="A1:D1"/>
    <mergeCell ref="A2:D2"/>
    <mergeCell ref="C42:D43"/>
    <mergeCell ref="B11:D12"/>
    <mergeCell ref="A11:A12"/>
    <mergeCell ref="B37:B38"/>
    <mergeCell ref="C37:C38"/>
    <mergeCell ref="D37:D38"/>
  </mergeCells>
  <phoneticPr fontId="0" type="noConversion"/>
  <printOptions horizontalCentered="1"/>
  <pageMargins left="0.1" right="0.1" top="0.7" bottom="0.1" header="0.51" footer="0.1"/>
  <pageSetup paperSize="9"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sheetPr codeName="Sheet21"/>
  <dimension ref="A1:H44"/>
  <sheetViews>
    <sheetView topLeftCell="A31" workbookViewId="0">
      <selection activeCell="M30" sqref="M30"/>
    </sheetView>
  </sheetViews>
  <sheetFormatPr defaultRowHeight="12.75"/>
  <cols>
    <col min="1" max="1" width="22.7109375" style="172" customWidth="1"/>
    <col min="2" max="2" width="14.85546875" style="172" customWidth="1"/>
    <col min="3" max="3" width="14.5703125" style="172" customWidth="1"/>
    <col min="4" max="4" width="15" style="172" customWidth="1"/>
    <col min="5" max="5" width="14.7109375" style="172" customWidth="1"/>
    <col min="6" max="16384" width="9.140625" style="172"/>
  </cols>
  <sheetData>
    <row r="1" spans="1:8" ht="13.5" customHeight="1">
      <c r="A1" s="1181" t="s">
        <v>1589</v>
      </c>
      <c r="B1" s="1181"/>
      <c r="C1" s="1181"/>
      <c r="D1" s="1181"/>
      <c r="E1" s="1181"/>
    </row>
    <row r="2" spans="1:8" s="206" customFormat="1" ht="32.25" customHeight="1">
      <c r="A2" s="1235" t="str">
        <f>CONCATENATE("Births and Deaths in different Hospitals and Health Centres 
in the district of ",District!A1)</f>
        <v>Births and Deaths in different Hospitals and Health Centres 
in the district of Bankura</v>
      </c>
      <c r="B2" s="1235"/>
      <c r="C2" s="1235"/>
      <c r="D2" s="1235"/>
      <c r="E2" s="1235"/>
      <c r="H2" s="288"/>
    </row>
    <row r="3" spans="1:8">
      <c r="A3" s="206"/>
      <c r="B3" s="288"/>
      <c r="C3" s="289"/>
      <c r="D3" s="289"/>
      <c r="E3" s="403" t="s">
        <v>452</v>
      </c>
    </row>
    <row r="4" spans="1:8" ht="15" customHeight="1">
      <c r="A4" s="1194" t="s">
        <v>304</v>
      </c>
      <c r="B4" s="1194" t="s">
        <v>1317</v>
      </c>
      <c r="C4" s="1237" t="s">
        <v>1586</v>
      </c>
      <c r="D4" s="1239"/>
      <c r="E4" s="1238"/>
    </row>
    <row r="5" spans="1:8" ht="14.25" customHeight="1">
      <c r="A5" s="1195"/>
      <c r="B5" s="1195"/>
      <c r="C5" s="332" t="s">
        <v>620</v>
      </c>
      <c r="D5" s="212" t="s">
        <v>621</v>
      </c>
      <c r="E5" s="263" t="s">
        <v>439</v>
      </c>
    </row>
    <row r="6" spans="1:8" ht="15" customHeight="1">
      <c r="A6" s="404" t="s">
        <v>418</v>
      </c>
      <c r="B6" s="297" t="s">
        <v>419</v>
      </c>
      <c r="C6" s="297" t="s">
        <v>420</v>
      </c>
      <c r="D6" s="297" t="s">
        <v>421</v>
      </c>
      <c r="E6" s="297" t="s">
        <v>422</v>
      </c>
    </row>
    <row r="7" spans="1:8" ht="15" customHeight="1">
      <c r="A7" s="29">
        <f>District!C16</f>
        <v>2010</v>
      </c>
      <c r="B7" s="58">
        <v>55246</v>
      </c>
      <c r="C7" s="24">
        <v>1868</v>
      </c>
      <c r="D7" s="58" t="s">
        <v>906</v>
      </c>
      <c r="E7" s="33" t="s">
        <v>153</v>
      </c>
    </row>
    <row r="8" spans="1:8" ht="15" customHeight="1">
      <c r="A8" s="29">
        <f>District!C17</f>
        <v>2011</v>
      </c>
      <c r="B8" s="183">
        <v>58377</v>
      </c>
      <c r="C8" s="189">
        <v>1650</v>
      </c>
      <c r="D8" s="183">
        <v>4765</v>
      </c>
      <c r="E8" s="33">
        <v>6415</v>
      </c>
    </row>
    <row r="9" spans="1:8" ht="15" customHeight="1">
      <c r="A9" s="29">
        <f>District!C18</f>
        <v>2012</v>
      </c>
      <c r="B9" s="183">
        <v>54656</v>
      </c>
      <c r="C9" s="189">
        <v>2567</v>
      </c>
      <c r="D9" s="183">
        <v>8644</v>
      </c>
      <c r="E9" s="33">
        <v>11211</v>
      </c>
    </row>
    <row r="10" spans="1:8" ht="15" customHeight="1">
      <c r="A10" s="29">
        <f>District!C19</f>
        <v>2013</v>
      </c>
      <c r="B10" s="183">
        <v>50923</v>
      </c>
      <c r="C10" s="302">
        <v>1794</v>
      </c>
      <c r="D10" s="183">
        <v>14328</v>
      </c>
      <c r="E10" s="33">
        <v>16122</v>
      </c>
    </row>
    <row r="11" spans="1:8" ht="15" customHeight="1">
      <c r="A11" s="56">
        <f>District!C20</f>
        <v>2014</v>
      </c>
      <c r="B11" s="41">
        <f>SUM(B13,B23,B32)</f>
        <v>53947</v>
      </c>
      <c r="C11" s="40">
        <f>SUM(C13,C23,C32)</f>
        <v>1014</v>
      </c>
      <c r="D11" s="41">
        <f>SUM(D13,D23,D32)</f>
        <v>14920</v>
      </c>
      <c r="E11" s="33">
        <f>SUM(C11:D11)</f>
        <v>15934</v>
      </c>
    </row>
    <row r="12" spans="1:8" ht="29.25" customHeight="1">
      <c r="A12" s="263" t="s">
        <v>1011</v>
      </c>
      <c r="B12" s="1198" t="str">
        <f>"Year : " &amp; A11</f>
        <v>Year : 2014</v>
      </c>
      <c r="C12" s="1306"/>
      <c r="D12" s="1306"/>
      <c r="E12" s="1199"/>
    </row>
    <row r="13" spans="1:8" ht="18" customHeight="1">
      <c r="A13" s="399" t="s">
        <v>717</v>
      </c>
      <c r="B13" s="93">
        <f>SUM(B14:B22)</f>
        <v>31030</v>
      </c>
      <c r="C13" s="93">
        <f>SUM(C14:C22)</f>
        <v>683</v>
      </c>
      <c r="D13" s="93">
        <f>SUM(D14:D22)</f>
        <v>7737</v>
      </c>
      <c r="E13" s="369">
        <f>SUM(C13:D13)</f>
        <v>8420</v>
      </c>
      <c r="G13" s="2"/>
    </row>
    <row r="14" spans="1:8" ht="18" customHeight="1">
      <c r="A14" s="400" t="s">
        <v>596</v>
      </c>
      <c r="B14" s="33">
        <v>143</v>
      </c>
      <c r="C14" s="24">
        <v>7</v>
      </c>
      <c r="D14" s="29">
        <v>110</v>
      </c>
      <c r="E14" s="152">
        <f t="shared" ref="E14:E22" si="0">SUM(C14:D14)</f>
        <v>117</v>
      </c>
    </row>
    <row r="15" spans="1:8" ht="18" customHeight="1">
      <c r="A15" s="400" t="s">
        <v>365</v>
      </c>
      <c r="B15" s="33">
        <v>23684</v>
      </c>
      <c r="C15" s="24">
        <v>533</v>
      </c>
      <c r="D15" s="29">
        <v>4520</v>
      </c>
      <c r="E15" s="152">
        <f t="shared" si="0"/>
        <v>5053</v>
      </c>
    </row>
    <row r="16" spans="1:8" ht="18" customHeight="1">
      <c r="A16" s="400" t="s">
        <v>595</v>
      </c>
      <c r="B16" s="33">
        <v>213</v>
      </c>
      <c r="C16" s="24">
        <v>12</v>
      </c>
      <c r="D16" s="33">
        <v>301</v>
      </c>
      <c r="E16" s="152">
        <f t="shared" si="0"/>
        <v>313</v>
      </c>
    </row>
    <row r="17" spans="1:5" ht="18" customHeight="1">
      <c r="A17" s="400" t="s">
        <v>597</v>
      </c>
      <c r="B17" s="33">
        <v>1294</v>
      </c>
      <c r="C17" s="24">
        <v>11</v>
      </c>
      <c r="D17" s="29">
        <v>315</v>
      </c>
      <c r="E17" s="152">
        <f t="shared" si="0"/>
        <v>326</v>
      </c>
    </row>
    <row r="18" spans="1:5" ht="18" customHeight="1">
      <c r="A18" s="400" t="s">
        <v>598</v>
      </c>
      <c r="B18" s="33">
        <v>1156</v>
      </c>
      <c r="C18" s="24">
        <v>30</v>
      </c>
      <c r="D18" s="33">
        <v>516</v>
      </c>
      <c r="E18" s="152">
        <f t="shared" si="0"/>
        <v>546</v>
      </c>
    </row>
    <row r="19" spans="1:5" ht="18" customHeight="1">
      <c r="A19" s="400" t="s">
        <v>599</v>
      </c>
      <c r="B19" s="33">
        <v>574</v>
      </c>
      <c r="C19" s="24">
        <v>15</v>
      </c>
      <c r="D19" s="29">
        <v>361</v>
      </c>
      <c r="E19" s="152">
        <f t="shared" si="0"/>
        <v>376</v>
      </c>
    </row>
    <row r="20" spans="1:5" ht="18" customHeight="1">
      <c r="A20" s="400" t="s">
        <v>771</v>
      </c>
      <c r="B20" s="33">
        <v>1426</v>
      </c>
      <c r="C20" s="24">
        <v>20</v>
      </c>
      <c r="D20" s="33">
        <v>418</v>
      </c>
      <c r="E20" s="152">
        <f t="shared" si="0"/>
        <v>438</v>
      </c>
    </row>
    <row r="21" spans="1:5" ht="18" customHeight="1">
      <c r="A21" s="400" t="s">
        <v>600</v>
      </c>
      <c r="B21" s="33">
        <v>821</v>
      </c>
      <c r="C21" s="24">
        <v>25</v>
      </c>
      <c r="D21" s="29">
        <v>501</v>
      </c>
      <c r="E21" s="152">
        <f t="shared" si="0"/>
        <v>526</v>
      </c>
    </row>
    <row r="22" spans="1:5" ht="18" customHeight="1">
      <c r="A22" s="400" t="s">
        <v>602</v>
      </c>
      <c r="B22" s="33">
        <v>1719</v>
      </c>
      <c r="C22" s="24">
        <v>30</v>
      </c>
      <c r="D22" s="33">
        <v>695</v>
      </c>
      <c r="E22" s="152">
        <f t="shared" si="0"/>
        <v>725</v>
      </c>
    </row>
    <row r="23" spans="1:5" ht="18" customHeight="1">
      <c r="A23" s="399" t="s">
        <v>366</v>
      </c>
      <c r="B23" s="64">
        <f>SUM(B24:B31)</f>
        <v>10886</v>
      </c>
      <c r="C23" s="64">
        <f>SUM(C24:C31)</f>
        <v>164</v>
      </c>
      <c r="D23" s="64">
        <f>SUM(D24:D31)</f>
        <v>2809</v>
      </c>
      <c r="E23" s="43">
        <f>SUM(C23:D23)</f>
        <v>2973</v>
      </c>
    </row>
    <row r="24" spans="1:5" ht="18" customHeight="1">
      <c r="A24" s="400" t="s">
        <v>605</v>
      </c>
      <c r="B24" s="33">
        <v>1289</v>
      </c>
      <c r="C24" s="24">
        <v>30</v>
      </c>
      <c r="D24" s="33">
        <v>371</v>
      </c>
      <c r="E24" s="39">
        <f t="shared" ref="E24:E40" si="1">SUM(C24:D24)</f>
        <v>401</v>
      </c>
    </row>
    <row r="25" spans="1:5" ht="18" customHeight="1">
      <c r="A25" s="400" t="s">
        <v>604</v>
      </c>
      <c r="B25" s="33">
        <v>1529</v>
      </c>
      <c r="C25" s="24">
        <v>17</v>
      </c>
      <c r="D25" s="33">
        <v>303</v>
      </c>
      <c r="E25" s="39">
        <f t="shared" si="1"/>
        <v>320</v>
      </c>
    </row>
    <row r="26" spans="1:5" ht="18" customHeight="1">
      <c r="A26" s="400" t="s">
        <v>368</v>
      </c>
      <c r="B26" s="33">
        <v>494</v>
      </c>
      <c r="C26" s="24">
        <v>14</v>
      </c>
      <c r="D26" s="33">
        <v>323</v>
      </c>
      <c r="E26" s="39">
        <f t="shared" si="1"/>
        <v>337</v>
      </c>
    </row>
    <row r="27" spans="1:5" ht="18" customHeight="1">
      <c r="A27" s="400" t="s">
        <v>606</v>
      </c>
      <c r="B27" s="33">
        <v>1094</v>
      </c>
      <c r="C27" s="24">
        <v>11</v>
      </c>
      <c r="D27" s="33">
        <v>325</v>
      </c>
      <c r="E27" s="39">
        <f t="shared" si="1"/>
        <v>336</v>
      </c>
    </row>
    <row r="28" spans="1:5" ht="18" customHeight="1">
      <c r="A28" s="400" t="s">
        <v>347</v>
      </c>
      <c r="B28" s="33">
        <v>1352</v>
      </c>
      <c r="C28" s="24">
        <v>13</v>
      </c>
      <c r="D28" s="33">
        <v>445</v>
      </c>
      <c r="E28" s="39">
        <f t="shared" si="1"/>
        <v>458</v>
      </c>
    </row>
    <row r="29" spans="1:5" ht="18" customHeight="1">
      <c r="A29" s="400" t="s">
        <v>369</v>
      </c>
      <c r="B29" s="33">
        <v>1311</v>
      </c>
      <c r="C29" s="24">
        <v>21</v>
      </c>
      <c r="D29" s="33">
        <v>409</v>
      </c>
      <c r="E29" s="39">
        <f t="shared" si="1"/>
        <v>430</v>
      </c>
    </row>
    <row r="30" spans="1:5" ht="18" customHeight="1">
      <c r="A30" s="400" t="s">
        <v>349</v>
      </c>
      <c r="B30" s="33">
        <v>1354</v>
      </c>
      <c r="C30" s="24">
        <v>18</v>
      </c>
      <c r="D30" s="33">
        <v>314</v>
      </c>
      <c r="E30" s="39">
        <f t="shared" si="1"/>
        <v>332</v>
      </c>
    </row>
    <row r="31" spans="1:5" ht="18" customHeight="1">
      <c r="A31" s="400" t="s">
        <v>370</v>
      </c>
      <c r="B31" s="33">
        <v>2463</v>
      </c>
      <c r="C31" s="24">
        <v>40</v>
      </c>
      <c r="D31" s="33">
        <v>319</v>
      </c>
      <c r="E31" s="39">
        <f t="shared" si="1"/>
        <v>359</v>
      </c>
    </row>
    <row r="32" spans="1:5" ht="18" customHeight="1">
      <c r="A32" s="399" t="s">
        <v>371</v>
      </c>
      <c r="B32" s="64">
        <f>SUM(B33:B40)</f>
        <v>12031</v>
      </c>
      <c r="C32" s="64">
        <f>SUM(C33:C40)</f>
        <v>167</v>
      </c>
      <c r="D32" s="64">
        <f>SUM(D33:D40)</f>
        <v>4374</v>
      </c>
      <c r="E32" s="43">
        <f>SUM(C32:D32)</f>
        <v>4541</v>
      </c>
    </row>
    <row r="33" spans="1:5" ht="18" customHeight="1">
      <c r="A33" s="400" t="s">
        <v>350</v>
      </c>
      <c r="B33" s="33">
        <v>539</v>
      </c>
      <c r="C33" s="24">
        <v>12</v>
      </c>
      <c r="D33" s="33">
        <v>307</v>
      </c>
      <c r="E33" s="39">
        <f t="shared" si="1"/>
        <v>319</v>
      </c>
    </row>
    <row r="34" spans="1:5" ht="18" customHeight="1">
      <c r="A34" s="400" t="s">
        <v>356</v>
      </c>
      <c r="B34" s="33">
        <v>5376</v>
      </c>
      <c r="C34" s="24">
        <v>76</v>
      </c>
      <c r="D34" s="33">
        <v>1105</v>
      </c>
      <c r="E34" s="39">
        <f t="shared" si="1"/>
        <v>1181</v>
      </c>
    </row>
    <row r="35" spans="1:5" ht="18" customHeight="1">
      <c r="A35" s="400" t="s">
        <v>351</v>
      </c>
      <c r="B35" s="33">
        <v>585</v>
      </c>
      <c r="C35" s="24">
        <v>13</v>
      </c>
      <c r="D35" s="33">
        <v>435</v>
      </c>
      <c r="E35" s="39">
        <f t="shared" si="1"/>
        <v>448</v>
      </c>
    </row>
    <row r="36" spans="1:5" ht="18" customHeight="1">
      <c r="A36" s="400" t="s">
        <v>352</v>
      </c>
      <c r="B36" s="33">
        <v>1294</v>
      </c>
      <c r="C36" s="24">
        <v>12</v>
      </c>
      <c r="D36" s="33">
        <v>561</v>
      </c>
      <c r="E36" s="39">
        <f t="shared" si="1"/>
        <v>573</v>
      </c>
    </row>
    <row r="37" spans="1:5" ht="18" customHeight="1">
      <c r="A37" s="370" t="s">
        <v>353</v>
      </c>
      <c r="B37" s="33">
        <v>1644</v>
      </c>
      <c r="C37" s="33">
        <v>32</v>
      </c>
      <c r="D37" s="33">
        <v>490</v>
      </c>
      <c r="E37" s="39">
        <f t="shared" si="1"/>
        <v>522</v>
      </c>
    </row>
    <row r="38" spans="1:5" ht="18" customHeight="1">
      <c r="A38" s="370" t="s">
        <v>362</v>
      </c>
      <c r="B38" s="33">
        <v>218</v>
      </c>
      <c r="C38" s="979" t="s">
        <v>1127</v>
      </c>
      <c r="D38" s="33">
        <v>351</v>
      </c>
      <c r="E38" s="39">
        <f t="shared" si="1"/>
        <v>351</v>
      </c>
    </row>
    <row r="39" spans="1:5" ht="18" customHeight="1">
      <c r="A39" s="400" t="s">
        <v>354</v>
      </c>
      <c r="B39" s="33">
        <v>1298</v>
      </c>
      <c r="C39" s="24">
        <v>11</v>
      </c>
      <c r="D39" s="33">
        <v>435</v>
      </c>
      <c r="E39" s="39">
        <f t="shared" si="1"/>
        <v>446</v>
      </c>
    </row>
    <row r="40" spans="1:5" ht="18" customHeight="1">
      <c r="A40" s="401" t="s">
        <v>355</v>
      </c>
      <c r="B40" s="41">
        <v>1077</v>
      </c>
      <c r="C40" s="40">
        <v>11</v>
      </c>
      <c r="D40" s="41">
        <v>690</v>
      </c>
      <c r="E40" s="41">
        <f t="shared" si="1"/>
        <v>701</v>
      </c>
    </row>
    <row r="41" spans="1:5">
      <c r="C41" s="729" t="s">
        <v>610</v>
      </c>
      <c r="D41" s="727" t="s">
        <v>801</v>
      </c>
      <c r="E41" s="727"/>
    </row>
    <row r="42" spans="1:5">
      <c r="C42" s="727"/>
      <c r="D42" s="1314" t="s">
        <v>1240</v>
      </c>
      <c r="E42" s="1314"/>
    </row>
    <row r="43" spans="1:5">
      <c r="C43" s="727"/>
      <c r="D43" s="1314"/>
      <c r="E43" s="1314"/>
    </row>
    <row r="44" spans="1:5">
      <c r="B44" s="170"/>
      <c r="C44" s="730"/>
      <c r="D44" s="1315"/>
      <c r="E44" s="1315"/>
    </row>
  </sheetData>
  <mergeCells count="7">
    <mergeCell ref="D42:E44"/>
    <mergeCell ref="A1:E1"/>
    <mergeCell ref="B12:E12"/>
    <mergeCell ref="A2:E2"/>
    <mergeCell ref="A4:A5"/>
    <mergeCell ref="B4:B5"/>
    <mergeCell ref="C4:E4"/>
  </mergeCells>
  <phoneticPr fontId="0" type="noConversion"/>
  <conditionalFormatting sqref="A39:B65536 F1:IV1048576 C10:E65536 B1:E9 B10:B37 A1:A37">
    <cfRule type="cellIs" dxfId="12" priority="1" stopIfTrue="1" operator="equal">
      <formula>".."</formula>
    </cfRule>
  </conditionalFormatting>
  <printOptions horizontalCentered="1"/>
  <pageMargins left="0.1" right="0.1" top="0.79" bottom="0.1" header="0.18" footer="0.1"/>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sheetPr codeName="Sheet26"/>
  <dimension ref="A1:I47"/>
  <sheetViews>
    <sheetView topLeftCell="A7" workbookViewId="0">
      <selection activeCell="M30" sqref="M30"/>
    </sheetView>
  </sheetViews>
  <sheetFormatPr defaultRowHeight="12.75"/>
  <cols>
    <col min="1" max="1" width="3.140625" style="172" customWidth="1"/>
    <col min="2" max="2" width="3" style="172" customWidth="1"/>
    <col min="3" max="3" width="1.28515625" style="172" customWidth="1"/>
    <col min="4" max="4" width="59.85546875" style="172" customWidth="1"/>
    <col min="5" max="5" width="12.28515625" style="172" customWidth="1"/>
    <col min="6" max="6" width="11.7109375" style="172" customWidth="1"/>
    <col min="7" max="7" width="12.7109375" style="172" customWidth="1"/>
    <col min="8" max="8" width="12.140625" style="172" customWidth="1"/>
    <col min="9" max="9" width="12.7109375" style="172" customWidth="1"/>
    <col min="10" max="16384" width="9.140625" style="172"/>
  </cols>
  <sheetData>
    <row r="1" spans="1:9" ht="13.5" customHeight="1">
      <c r="A1" s="1181" t="s">
        <v>1588</v>
      </c>
      <c r="B1" s="1181"/>
      <c r="C1" s="1181"/>
      <c r="D1" s="1181"/>
      <c r="E1" s="1181"/>
      <c r="F1" s="1181"/>
      <c r="G1" s="1181"/>
      <c r="H1" s="1181"/>
      <c r="I1" s="1181"/>
    </row>
    <row r="2" spans="1:9" s="206" customFormat="1" ht="15.95" customHeight="1">
      <c r="A2" s="1226" t="str">
        <f>CONCATENATE("General Educational Institutions by type in the district of ",District!A1)</f>
        <v>General Educational Institutions by type in the district of Bankura</v>
      </c>
      <c r="B2" s="1226"/>
      <c r="C2" s="1226"/>
      <c r="D2" s="1226"/>
      <c r="E2" s="1226"/>
      <c r="F2" s="1226"/>
      <c r="G2" s="1226"/>
      <c r="H2" s="1226"/>
      <c r="I2" s="1226"/>
    </row>
    <row r="3" spans="1:9" ht="12" customHeight="1">
      <c r="A3" s="259"/>
      <c r="B3" s="259"/>
      <c r="C3" s="259"/>
      <c r="D3" s="259"/>
      <c r="E3" s="260"/>
      <c r="F3" s="260"/>
      <c r="G3" s="260"/>
      <c r="H3" s="260"/>
      <c r="I3" s="114" t="s">
        <v>452</v>
      </c>
    </row>
    <row r="4" spans="1:9">
      <c r="A4" s="1186" t="s">
        <v>736</v>
      </c>
      <c r="B4" s="1187"/>
      <c r="C4" s="1187"/>
      <c r="D4" s="1184"/>
      <c r="E4" s="1193" t="s">
        <v>304</v>
      </c>
      <c r="F4" s="1191"/>
      <c r="G4" s="1191"/>
      <c r="H4" s="1191"/>
      <c r="I4" s="1192"/>
    </row>
    <row r="5" spans="1:9">
      <c r="A5" s="1242"/>
      <c r="B5" s="1218"/>
      <c r="C5" s="1218"/>
      <c r="D5" s="1185"/>
      <c r="E5" s="553" t="str">
        <f>District!B11</f>
        <v>2009-10</v>
      </c>
      <c r="F5" s="553" t="str">
        <f>District!C11</f>
        <v>2010-11</v>
      </c>
      <c r="G5" s="553" t="str">
        <f>District!D11</f>
        <v>2011-12</v>
      </c>
      <c r="H5" s="553" t="str">
        <f>District!E11</f>
        <v>2012-13</v>
      </c>
      <c r="I5" s="553" t="str">
        <f>District!F11</f>
        <v>2013-14</v>
      </c>
    </row>
    <row r="6" spans="1:9">
      <c r="A6" s="1201" t="s">
        <v>418</v>
      </c>
      <c r="B6" s="1202"/>
      <c r="C6" s="1202"/>
      <c r="D6" s="1202"/>
      <c r="E6" s="213" t="s">
        <v>419</v>
      </c>
      <c r="F6" s="213" t="s">
        <v>420</v>
      </c>
      <c r="G6" s="213" t="s">
        <v>421</v>
      </c>
      <c r="H6" s="213" t="s">
        <v>422</v>
      </c>
      <c r="I6" s="182" t="s">
        <v>423</v>
      </c>
    </row>
    <row r="7" spans="1:9" ht="13.5" customHeight="1">
      <c r="A7" s="254" t="s">
        <v>942</v>
      </c>
      <c r="B7" s="1322" t="s">
        <v>30</v>
      </c>
      <c r="C7" s="1323"/>
      <c r="D7" s="1324"/>
      <c r="E7" s="158">
        <f>E8+E13+E18+E23</f>
        <v>4161</v>
      </c>
      <c r="F7" s="158">
        <f>F8+F13+F18+F23</f>
        <v>4267</v>
      </c>
      <c r="G7" s="158">
        <f>G8+G13+G18+G23</f>
        <v>4359</v>
      </c>
      <c r="H7" s="158">
        <f>H8+H13+H18+H23</f>
        <v>4381</v>
      </c>
      <c r="I7" s="158">
        <f>I8+I13+I18+I23</f>
        <v>4400</v>
      </c>
    </row>
    <row r="8" spans="1:9" ht="13.5" customHeight="1">
      <c r="A8" s="183"/>
      <c r="B8" s="76" t="s">
        <v>644</v>
      </c>
      <c r="C8" s="1316" t="s">
        <v>671</v>
      </c>
      <c r="D8" s="1317"/>
      <c r="E8" s="28">
        <f>SUM(E9:E12)</f>
        <v>3475</v>
      </c>
      <c r="F8" s="28">
        <f>SUM(F9:F12)</f>
        <v>3533</v>
      </c>
      <c r="G8" s="28">
        <f>SUM(G9:G12)</f>
        <v>3556</v>
      </c>
      <c r="H8" s="28">
        <f>SUM(H9:H12)</f>
        <v>3551</v>
      </c>
      <c r="I8" s="28">
        <f>SUM(I9:I12)</f>
        <v>3550</v>
      </c>
    </row>
    <row r="9" spans="1:9" ht="13.5" customHeight="1">
      <c r="A9" s="183"/>
      <c r="B9" s="406"/>
      <c r="C9" s="306"/>
      <c r="D9" s="197" t="s">
        <v>633</v>
      </c>
      <c r="E9" s="152">
        <v>3466</v>
      </c>
      <c r="F9" s="152">
        <v>3524</v>
      </c>
      <c r="G9" s="152">
        <v>3547</v>
      </c>
      <c r="H9" s="108">
        <v>3539</v>
      </c>
      <c r="I9" s="108">
        <v>3538</v>
      </c>
    </row>
    <row r="10" spans="1:9" ht="13.5" customHeight="1">
      <c r="A10" s="183"/>
      <c r="B10" s="406"/>
      <c r="C10" s="306"/>
      <c r="D10" s="197" t="s">
        <v>634</v>
      </c>
      <c r="E10" s="152">
        <v>4</v>
      </c>
      <c r="F10" s="152">
        <v>4</v>
      </c>
      <c r="G10" s="152">
        <v>4</v>
      </c>
      <c r="H10" s="108">
        <v>4</v>
      </c>
      <c r="I10" s="108">
        <v>4</v>
      </c>
    </row>
    <row r="11" spans="1:9" ht="13.5" customHeight="1">
      <c r="A11" s="183"/>
      <c r="B11" s="406"/>
      <c r="C11" s="306"/>
      <c r="D11" s="197" t="s">
        <v>641</v>
      </c>
      <c r="E11" s="152">
        <v>5</v>
      </c>
      <c r="F11" s="152">
        <v>5</v>
      </c>
      <c r="G11" s="152">
        <v>5</v>
      </c>
      <c r="H11" s="108">
        <v>8</v>
      </c>
      <c r="I11" s="108">
        <v>8</v>
      </c>
    </row>
    <row r="12" spans="1:9" ht="13.5" customHeight="1">
      <c r="A12" s="183"/>
      <c r="B12" s="406"/>
      <c r="C12" s="306"/>
      <c r="D12" s="197" t="s">
        <v>737</v>
      </c>
      <c r="E12" s="183" t="s">
        <v>1127</v>
      </c>
      <c r="F12" s="183" t="s">
        <v>1127</v>
      </c>
      <c r="G12" s="183" t="s">
        <v>1127</v>
      </c>
      <c r="H12" s="184" t="s">
        <v>1127</v>
      </c>
      <c r="I12" s="184" t="s">
        <v>1127</v>
      </c>
    </row>
    <row r="13" spans="1:9" ht="13.5" customHeight="1">
      <c r="A13" s="183"/>
      <c r="B13" s="76" t="s">
        <v>642</v>
      </c>
      <c r="C13" s="1318" t="s">
        <v>672</v>
      </c>
      <c r="D13" s="1319"/>
      <c r="E13" s="28">
        <f>SUM(E14:E17)</f>
        <v>201</v>
      </c>
      <c r="F13" s="28">
        <f>SUM(F14:F17)</f>
        <v>260</v>
      </c>
      <c r="G13" s="28">
        <f>SUM(G14:G17)</f>
        <v>329</v>
      </c>
      <c r="H13" s="28">
        <f>SUM(H14:H17)</f>
        <v>353</v>
      </c>
      <c r="I13" s="28">
        <f>SUM(I14:I17)</f>
        <v>369</v>
      </c>
    </row>
    <row r="14" spans="1:9" ht="13.5" customHeight="1">
      <c r="A14" s="183"/>
      <c r="B14" s="406"/>
      <c r="C14" s="306"/>
      <c r="D14" s="197" t="s">
        <v>912</v>
      </c>
      <c r="E14" s="152">
        <v>195</v>
      </c>
      <c r="F14" s="152">
        <v>254</v>
      </c>
      <c r="G14" s="152">
        <v>321</v>
      </c>
      <c r="H14" s="108">
        <v>348</v>
      </c>
      <c r="I14" s="108">
        <v>364</v>
      </c>
    </row>
    <row r="15" spans="1:9" ht="13.5" customHeight="1">
      <c r="A15" s="183"/>
      <c r="B15" s="406"/>
      <c r="C15" s="306"/>
      <c r="D15" s="197" t="s">
        <v>282</v>
      </c>
      <c r="E15" s="152">
        <v>4</v>
      </c>
      <c r="F15" s="152">
        <v>4</v>
      </c>
      <c r="G15" s="152">
        <v>6</v>
      </c>
      <c r="H15" s="108">
        <v>5</v>
      </c>
      <c r="I15" s="108">
        <v>5</v>
      </c>
    </row>
    <row r="16" spans="1:9" ht="13.5" customHeight="1">
      <c r="A16" s="183"/>
      <c r="B16" s="406"/>
      <c r="C16" s="306"/>
      <c r="D16" s="197" t="s">
        <v>641</v>
      </c>
      <c r="E16" s="152">
        <v>2</v>
      </c>
      <c r="F16" s="152">
        <v>2</v>
      </c>
      <c r="G16" s="152">
        <v>2</v>
      </c>
      <c r="H16" s="108" t="s">
        <v>1127</v>
      </c>
      <c r="I16" s="108" t="s">
        <v>1127</v>
      </c>
    </row>
    <row r="17" spans="1:9" ht="13.5" customHeight="1">
      <c r="A17" s="183"/>
      <c r="B17" s="406"/>
      <c r="C17" s="306"/>
      <c r="D17" s="197" t="s">
        <v>737</v>
      </c>
      <c r="E17" s="183" t="s">
        <v>1127</v>
      </c>
      <c r="F17" s="183" t="s">
        <v>1127</v>
      </c>
      <c r="G17" s="183" t="s">
        <v>1127</v>
      </c>
      <c r="H17" s="184" t="s">
        <v>1127</v>
      </c>
      <c r="I17" s="184" t="s">
        <v>1127</v>
      </c>
    </row>
    <row r="18" spans="1:9" ht="13.5" customHeight="1">
      <c r="A18" s="183"/>
      <c r="B18" s="76" t="s">
        <v>643</v>
      </c>
      <c r="C18" s="1316" t="s">
        <v>674</v>
      </c>
      <c r="D18" s="1317"/>
      <c r="E18" s="28">
        <f>SUM(E19:E22)</f>
        <v>278</v>
      </c>
      <c r="F18" s="28">
        <f>SUM(F19:F22)</f>
        <v>262</v>
      </c>
      <c r="G18" s="28">
        <f>SUM(G19:G22)</f>
        <v>222</v>
      </c>
      <c r="H18" s="28">
        <f>SUM(H19:H22)</f>
        <v>193</v>
      </c>
      <c r="I18" s="28">
        <f>SUM(I19:I22)</f>
        <v>197</v>
      </c>
    </row>
    <row r="19" spans="1:9" ht="13.5" customHeight="1">
      <c r="A19" s="183"/>
      <c r="B19" s="406"/>
      <c r="C19" s="306"/>
      <c r="D19" s="197" t="s">
        <v>912</v>
      </c>
      <c r="E19" s="152">
        <v>268</v>
      </c>
      <c r="F19" s="152">
        <v>252</v>
      </c>
      <c r="G19" s="152">
        <v>212</v>
      </c>
      <c r="H19" s="108">
        <v>183</v>
      </c>
      <c r="I19" s="108">
        <v>186</v>
      </c>
    </row>
    <row r="20" spans="1:9" ht="13.5" customHeight="1">
      <c r="A20" s="183"/>
      <c r="B20" s="406"/>
      <c r="C20" s="306"/>
      <c r="D20" s="197" t="s">
        <v>281</v>
      </c>
      <c r="E20" s="152">
        <v>6</v>
      </c>
      <c r="F20" s="152">
        <v>6</v>
      </c>
      <c r="G20" s="152">
        <v>6</v>
      </c>
      <c r="H20" s="108">
        <v>6</v>
      </c>
      <c r="I20" s="108">
        <v>6</v>
      </c>
    </row>
    <row r="21" spans="1:9" ht="13.5" customHeight="1">
      <c r="A21" s="183"/>
      <c r="B21" s="406"/>
      <c r="C21" s="306"/>
      <c r="D21" s="197" t="s">
        <v>641</v>
      </c>
      <c r="E21" s="152">
        <v>4</v>
      </c>
      <c r="F21" s="152">
        <v>4</v>
      </c>
      <c r="G21" s="152">
        <v>4</v>
      </c>
      <c r="H21" s="108">
        <v>4</v>
      </c>
      <c r="I21" s="108">
        <v>5</v>
      </c>
    </row>
    <row r="22" spans="1:9" ht="13.5" customHeight="1">
      <c r="A22" s="183"/>
      <c r="B22" s="406"/>
      <c r="C22" s="306"/>
      <c r="D22" s="197" t="s">
        <v>737</v>
      </c>
      <c r="E22" s="183" t="s">
        <v>1127</v>
      </c>
      <c r="F22" s="183" t="s">
        <v>1127</v>
      </c>
      <c r="G22" s="183" t="s">
        <v>1127</v>
      </c>
      <c r="H22" s="184" t="s">
        <v>1127</v>
      </c>
      <c r="I22" s="184" t="s">
        <v>1127</v>
      </c>
    </row>
    <row r="23" spans="1:9" ht="26.25" customHeight="1">
      <c r="A23" s="183"/>
      <c r="B23" s="407" t="s">
        <v>645</v>
      </c>
      <c r="C23" s="1316" t="s">
        <v>675</v>
      </c>
      <c r="D23" s="1317"/>
      <c r="E23" s="28">
        <f>SUM(E24:E28)</f>
        <v>207</v>
      </c>
      <c r="F23" s="28">
        <f>SUM(F24:F28)</f>
        <v>212</v>
      </c>
      <c r="G23" s="28">
        <f>SUM(G24:G28)</f>
        <v>252</v>
      </c>
      <c r="H23" s="28">
        <f>SUM(H24:H28)</f>
        <v>284</v>
      </c>
      <c r="I23" s="28">
        <f>SUM(I24:I28)</f>
        <v>284</v>
      </c>
    </row>
    <row r="24" spans="1:9" ht="13.5" customHeight="1">
      <c r="A24" s="183"/>
      <c r="B24" s="406"/>
      <c r="C24" s="306"/>
      <c r="D24" s="197" t="s">
        <v>803</v>
      </c>
      <c r="E24" s="152">
        <v>200</v>
      </c>
      <c r="F24" s="152">
        <v>205</v>
      </c>
      <c r="G24" s="152">
        <v>245</v>
      </c>
      <c r="H24" s="108">
        <f>275+1</f>
        <v>276</v>
      </c>
      <c r="I24" s="108">
        <v>276</v>
      </c>
    </row>
    <row r="25" spans="1:9" ht="13.5" customHeight="1">
      <c r="A25" s="183"/>
      <c r="B25" s="406"/>
      <c r="C25" s="306"/>
      <c r="D25" s="197" t="s">
        <v>804</v>
      </c>
      <c r="E25" s="152">
        <v>2</v>
      </c>
      <c r="F25" s="152">
        <v>2</v>
      </c>
      <c r="G25" s="152">
        <v>2</v>
      </c>
      <c r="H25" s="108">
        <v>2</v>
      </c>
      <c r="I25" s="108">
        <v>2</v>
      </c>
    </row>
    <row r="26" spans="1:9" ht="13.5" customHeight="1">
      <c r="A26" s="183"/>
      <c r="B26" s="406"/>
      <c r="C26" s="306"/>
      <c r="D26" s="197" t="s">
        <v>641</v>
      </c>
      <c r="E26" s="152">
        <v>1</v>
      </c>
      <c r="F26" s="152">
        <v>1</v>
      </c>
      <c r="G26" s="152">
        <v>1</v>
      </c>
      <c r="H26" s="108">
        <v>2</v>
      </c>
      <c r="I26" s="108">
        <v>2</v>
      </c>
    </row>
    <row r="27" spans="1:9" ht="13.5" customHeight="1">
      <c r="A27" s="183"/>
      <c r="B27" s="406"/>
      <c r="C27" s="306"/>
      <c r="D27" s="197" t="s">
        <v>737</v>
      </c>
      <c r="E27" s="183" t="s">
        <v>1127</v>
      </c>
      <c r="F27" s="183" t="s">
        <v>1127</v>
      </c>
      <c r="G27" s="183" t="s">
        <v>1127</v>
      </c>
      <c r="H27" s="184" t="s">
        <v>1127</v>
      </c>
      <c r="I27" s="184" t="s">
        <v>1127</v>
      </c>
    </row>
    <row r="28" spans="1:9" ht="13.5" customHeight="1">
      <c r="A28" s="183"/>
      <c r="B28" s="406"/>
      <c r="C28" s="306"/>
      <c r="D28" s="197" t="s">
        <v>656</v>
      </c>
      <c r="E28" s="33">
        <v>4</v>
      </c>
      <c r="F28" s="33">
        <v>4</v>
      </c>
      <c r="G28" s="33">
        <v>4</v>
      </c>
      <c r="H28" s="39">
        <v>4</v>
      </c>
      <c r="I28" s="39">
        <v>4</v>
      </c>
    </row>
    <row r="29" spans="1:9" ht="13.5" customHeight="1">
      <c r="A29" s="154" t="s">
        <v>943</v>
      </c>
      <c r="B29" s="1250" t="s">
        <v>31</v>
      </c>
      <c r="C29" s="1251"/>
      <c r="D29" s="1252"/>
      <c r="E29" s="408">
        <v>18</v>
      </c>
      <c r="F29" s="408">
        <v>18</v>
      </c>
      <c r="G29" s="408">
        <v>18</v>
      </c>
      <c r="H29" s="409">
        <v>21</v>
      </c>
      <c r="I29" s="409">
        <v>21</v>
      </c>
    </row>
    <row r="30" spans="1:9" ht="26.25" customHeight="1">
      <c r="A30" s="410" t="s">
        <v>944</v>
      </c>
      <c r="B30" s="1320" t="s">
        <v>34</v>
      </c>
      <c r="C30" s="1221"/>
      <c r="D30" s="1321"/>
      <c r="E30" s="132" t="s">
        <v>1127</v>
      </c>
      <c r="F30" s="132" t="s">
        <v>1127</v>
      </c>
      <c r="G30" s="132" t="s">
        <v>1127</v>
      </c>
      <c r="H30" s="91" t="s">
        <v>1127</v>
      </c>
      <c r="I30" s="91" t="s">
        <v>1127</v>
      </c>
    </row>
    <row r="31" spans="1:9" ht="13.5" customHeight="1">
      <c r="A31" s="411" t="s">
        <v>945</v>
      </c>
      <c r="B31" s="1325" t="s">
        <v>914</v>
      </c>
      <c r="C31" s="1326"/>
      <c r="D31" s="1327"/>
      <c r="E31" s="153">
        <v>3</v>
      </c>
      <c r="F31" s="153">
        <v>3</v>
      </c>
      <c r="G31" s="153">
        <v>3</v>
      </c>
      <c r="H31" s="98">
        <v>3</v>
      </c>
      <c r="I31" s="98">
        <v>3</v>
      </c>
    </row>
    <row r="32" spans="1:9">
      <c r="A32" s="378"/>
      <c r="B32" s="378"/>
      <c r="C32" s="378"/>
      <c r="D32" s="378"/>
      <c r="E32" s="725" t="s">
        <v>610</v>
      </c>
      <c r="F32" s="726" t="s">
        <v>805</v>
      </c>
      <c r="G32" s="726"/>
      <c r="H32" s="726"/>
      <c r="I32" s="726"/>
    </row>
    <row r="33" spans="1:9">
      <c r="A33" s="378"/>
      <c r="B33" s="378"/>
      <c r="C33" s="378"/>
      <c r="D33" s="378"/>
      <c r="E33" s="726"/>
      <c r="F33" s="726" t="s">
        <v>806</v>
      </c>
      <c r="G33" s="726"/>
      <c r="H33" s="726"/>
      <c r="I33" s="726"/>
    </row>
    <row r="34" spans="1:9">
      <c r="A34" s="378"/>
      <c r="B34" s="378"/>
      <c r="C34" s="378"/>
      <c r="D34" s="378"/>
      <c r="E34" s="726"/>
      <c r="F34" s="726" t="s">
        <v>1247</v>
      </c>
      <c r="G34" s="726"/>
      <c r="H34" s="726"/>
      <c r="I34" s="726"/>
    </row>
    <row r="35" spans="1:9" ht="12.75" customHeight="1">
      <c r="A35" s="378"/>
      <c r="B35" s="378"/>
      <c r="C35" s="378"/>
      <c r="D35" s="378"/>
      <c r="E35" s="726"/>
      <c r="F35" s="1307" t="s">
        <v>335</v>
      </c>
      <c r="G35" s="1307"/>
      <c r="H35" s="1307"/>
      <c r="I35" s="1307"/>
    </row>
    <row r="36" spans="1:9">
      <c r="A36" s="378"/>
      <c r="B36" s="378"/>
      <c r="C36" s="378"/>
      <c r="D36" s="378"/>
      <c r="E36" s="726"/>
      <c r="F36" s="726" t="s">
        <v>655</v>
      </c>
      <c r="G36" s="726"/>
      <c r="H36" s="726"/>
      <c r="I36" s="726"/>
    </row>
    <row r="37" spans="1:9">
      <c r="A37" s="378"/>
      <c r="B37" s="378"/>
      <c r="C37" s="378"/>
      <c r="D37" s="378"/>
      <c r="E37" s="726"/>
      <c r="F37" s="726" t="s">
        <v>738</v>
      </c>
      <c r="G37" s="726"/>
      <c r="H37" s="726"/>
      <c r="I37" s="726"/>
    </row>
    <row r="38" spans="1:9">
      <c r="A38" s="378"/>
      <c r="B38" s="378"/>
      <c r="C38" s="378"/>
      <c r="D38" s="378"/>
      <c r="E38" s="726"/>
      <c r="F38" s="726" t="s">
        <v>807</v>
      </c>
      <c r="G38" s="726"/>
      <c r="H38" s="726"/>
      <c r="I38" s="726"/>
    </row>
    <row r="39" spans="1:9">
      <c r="A39" s="378"/>
      <c r="B39" s="378"/>
      <c r="C39" s="378"/>
      <c r="D39" s="378"/>
      <c r="E39" s="378"/>
      <c r="F39" s="378"/>
      <c r="G39" s="378"/>
      <c r="H39" s="378"/>
      <c r="I39" s="378"/>
    </row>
    <row r="40" spans="1:9">
      <c r="A40" s="378"/>
      <c r="B40" s="378"/>
      <c r="C40" s="378"/>
      <c r="D40" s="378"/>
      <c r="E40" s="378"/>
      <c r="F40" s="378"/>
      <c r="G40" s="378"/>
      <c r="H40" s="378"/>
      <c r="I40" s="378"/>
    </row>
    <row r="41" spans="1:9">
      <c r="A41" s="378"/>
      <c r="B41" s="378"/>
      <c r="C41" s="378"/>
      <c r="D41" s="378"/>
      <c r="E41" s="378"/>
      <c r="F41" s="378"/>
      <c r="G41" s="378"/>
      <c r="H41" s="378"/>
      <c r="I41" s="378"/>
    </row>
    <row r="42" spans="1:9">
      <c r="A42" s="378"/>
      <c r="B42" s="378"/>
      <c r="C42" s="378"/>
      <c r="D42" s="378"/>
      <c r="E42" s="378"/>
      <c r="F42" s="378"/>
      <c r="G42" s="378"/>
      <c r="H42" s="378"/>
      <c r="I42" s="378"/>
    </row>
    <row r="43" spans="1:9">
      <c r="A43" s="268"/>
      <c r="B43" s="268"/>
      <c r="C43" s="268"/>
      <c r="D43" s="268"/>
      <c r="E43" s="268"/>
      <c r="F43" s="268"/>
      <c r="G43" s="268"/>
      <c r="H43" s="268"/>
      <c r="I43" s="268"/>
    </row>
    <row r="44" spans="1:9">
      <c r="A44" s="268"/>
      <c r="B44" s="268"/>
      <c r="C44" s="268"/>
      <c r="D44" s="268"/>
      <c r="E44" s="268"/>
      <c r="F44" s="268"/>
      <c r="G44" s="268"/>
      <c r="H44" s="268"/>
      <c r="I44" s="268"/>
    </row>
    <row r="47" spans="1:9">
      <c r="A47" s="170"/>
      <c r="B47" s="170"/>
      <c r="C47" s="170"/>
      <c r="D47" s="170"/>
      <c r="E47" s="170"/>
      <c r="F47" s="170"/>
      <c r="G47" s="170"/>
      <c r="H47" s="170"/>
      <c r="I47" s="170"/>
    </row>
  </sheetData>
  <mergeCells count="14">
    <mergeCell ref="A1:I1"/>
    <mergeCell ref="F35:I35"/>
    <mergeCell ref="C8:D8"/>
    <mergeCell ref="C13:D13"/>
    <mergeCell ref="C18:D18"/>
    <mergeCell ref="C23:D23"/>
    <mergeCell ref="B30:D30"/>
    <mergeCell ref="B7:D7"/>
    <mergeCell ref="B31:D31"/>
    <mergeCell ref="B29:D29"/>
    <mergeCell ref="A2:I2"/>
    <mergeCell ref="A6:D6"/>
    <mergeCell ref="A4:D5"/>
    <mergeCell ref="E4:I4"/>
  </mergeCells>
  <phoneticPr fontId="0" type="noConversion"/>
  <printOptions horizontalCentered="1" verticalCentered="1"/>
  <pageMargins left="0.1" right="0.1" top="0.28000000000000003" bottom="0.1" header="0.24" footer="0.1"/>
  <pageSetup paperSize="9" orientation="landscape" r:id="rId1"/>
  <headerFooter alignWithMargins="0"/>
</worksheet>
</file>

<file path=xl/worksheets/sheet28.xml><?xml version="1.0" encoding="utf-8"?>
<worksheet xmlns="http://schemas.openxmlformats.org/spreadsheetml/2006/main" xmlns:r="http://schemas.openxmlformats.org/officeDocument/2006/relationships">
  <sheetPr codeName="Sheet27"/>
  <dimension ref="A1:J43"/>
  <sheetViews>
    <sheetView topLeftCell="A19" workbookViewId="0">
      <selection activeCell="M30" sqref="M30"/>
    </sheetView>
  </sheetViews>
  <sheetFormatPr defaultRowHeight="12.75"/>
  <cols>
    <col min="1" max="2" width="2.85546875" style="172" customWidth="1"/>
    <col min="3" max="3" width="2" style="172" customWidth="1"/>
    <col min="4" max="4" width="49.28515625" style="172" customWidth="1"/>
    <col min="5" max="9" width="13.7109375" style="172" customWidth="1"/>
    <col min="10" max="16384" width="9.140625" style="172"/>
  </cols>
  <sheetData>
    <row r="1" spans="1:10" ht="13.5" customHeight="1">
      <c r="A1" s="1181" t="s">
        <v>1587</v>
      </c>
      <c r="B1" s="1181"/>
      <c r="C1" s="1181"/>
      <c r="D1" s="1181"/>
      <c r="E1" s="1181"/>
      <c r="F1" s="1181"/>
      <c r="G1" s="1181"/>
      <c r="H1" s="1181"/>
      <c r="I1" s="1181"/>
    </row>
    <row r="2" spans="1:10" s="206" customFormat="1" ht="17.45" customHeight="1">
      <c r="A2" s="1226" t="str">
        <f>CONCATENATE("Professional &amp; Technical Educational Institutions by type in the district of ",District!A1)</f>
        <v>Professional &amp; Technical Educational Institutions by type in the district of Bankura</v>
      </c>
      <c r="B2" s="1226"/>
      <c r="C2" s="1226"/>
      <c r="D2" s="1226"/>
      <c r="E2" s="1226"/>
      <c r="F2" s="1226"/>
      <c r="G2" s="1226"/>
      <c r="H2" s="1226"/>
      <c r="I2" s="1226"/>
    </row>
    <row r="3" spans="1:10">
      <c r="A3" s="259"/>
      <c r="B3" s="100"/>
      <c r="C3" s="349"/>
      <c r="D3" s="349"/>
      <c r="E3" s="349"/>
      <c r="F3" s="349"/>
      <c r="G3" s="349"/>
      <c r="H3" s="349"/>
      <c r="I3" s="114" t="s">
        <v>452</v>
      </c>
    </row>
    <row r="4" spans="1:10">
      <c r="A4" s="1186" t="s">
        <v>736</v>
      </c>
      <c r="B4" s="1187"/>
      <c r="C4" s="1187"/>
      <c r="D4" s="1184"/>
      <c r="E4" s="1193" t="s">
        <v>304</v>
      </c>
      <c r="F4" s="1191"/>
      <c r="G4" s="1191"/>
      <c r="H4" s="1191"/>
      <c r="I4" s="1192"/>
    </row>
    <row r="5" spans="1:10">
      <c r="A5" s="1242"/>
      <c r="B5" s="1218"/>
      <c r="C5" s="1218"/>
      <c r="D5" s="1185"/>
      <c r="E5" s="471" t="str">
        <f>District!B11</f>
        <v>2009-10</v>
      </c>
      <c r="F5" s="471" t="str">
        <f>District!C11</f>
        <v>2010-11</v>
      </c>
      <c r="G5" s="471" t="str">
        <f>District!D11</f>
        <v>2011-12</v>
      </c>
      <c r="H5" s="471" t="str">
        <f>District!E11</f>
        <v>2012-13</v>
      </c>
      <c r="I5" s="471" t="str">
        <f>District!F11</f>
        <v>2013-14</v>
      </c>
      <c r="J5" s="177"/>
    </row>
    <row r="6" spans="1:10">
      <c r="A6" s="1201" t="s">
        <v>418</v>
      </c>
      <c r="B6" s="1202"/>
      <c r="C6" s="1202"/>
      <c r="D6" s="1257"/>
      <c r="E6" s="213" t="s">
        <v>419</v>
      </c>
      <c r="F6" s="213" t="s">
        <v>420</v>
      </c>
      <c r="G6" s="213" t="s">
        <v>421</v>
      </c>
      <c r="H6" s="213" t="s">
        <v>422</v>
      </c>
      <c r="I6" s="182" t="s">
        <v>423</v>
      </c>
    </row>
    <row r="7" spans="1:10">
      <c r="A7" s="169" t="s">
        <v>942</v>
      </c>
      <c r="B7" s="1322" t="s">
        <v>1497</v>
      </c>
      <c r="C7" s="1323"/>
      <c r="D7" s="1324"/>
      <c r="E7" s="158">
        <f>SUM(E8,E13,E16)</f>
        <v>23</v>
      </c>
      <c r="F7" s="158">
        <f>SUM(F8,F13,F16)</f>
        <v>23</v>
      </c>
      <c r="G7" s="158">
        <f>SUM(G8,G13,G16)</f>
        <v>23</v>
      </c>
      <c r="H7" s="158">
        <f>SUM(H8,H13,H16)</f>
        <v>22</v>
      </c>
      <c r="I7" s="158">
        <f>SUM(I8,I13,I16)</f>
        <v>19</v>
      </c>
    </row>
    <row r="8" spans="1:10">
      <c r="A8" s="406"/>
      <c r="B8" s="76" t="s">
        <v>644</v>
      </c>
      <c r="C8" s="1251" t="s">
        <v>657</v>
      </c>
      <c r="D8" s="1252"/>
      <c r="E8" s="34">
        <f>SUM(E9:E12)</f>
        <v>3</v>
      </c>
      <c r="F8" s="34">
        <f>SUM(F9:F12)</f>
        <v>3</v>
      </c>
      <c r="G8" s="34">
        <f>SUM(G9:G12)</f>
        <v>3</v>
      </c>
      <c r="H8" s="34">
        <f>SUM(H9:H12)</f>
        <v>3</v>
      </c>
      <c r="I8" s="34">
        <f>SUM(I9:I12)</f>
        <v>3</v>
      </c>
    </row>
    <row r="9" spans="1:10">
      <c r="A9" s="406"/>
      <c r="B9" s="406"/>
      <c r="C9" s="306"/>
      <c r="D9" s="197" t="s">
        <v>663</v>
      </c>
      <c r="E9" s="173">
        <v>1</v>
      </c>
      <c r="F9" s="173">
        <v>1</v>
      </c>
      <c r="G9" s="174">
        <v>1</v>
      </c>
      <c r="H9" s="174">
        <v>1</v>
      </c>
      <c r="I9" s="174">
        <v>1</v>
      </c>
    </row>
    <row r="10" spans="1:10">
      <c r="A10" s="406"/>
      <c r="B10" s="406"/>
      <c r="C10" s="306"/>
      <c r="D10" s="197" t="s">
        <v>1169</v>
      </c>
      <c r="E10" s="173" t="s">
        <v>1127</v>
      </c>
      <c r="F10" s="173" t="s">
        <v>1127</v>
      </c>
      <c r="G10" s="174" t="s">
        <v>1127</v>
      </c>
      <c r="H10" s="174" t="s">
        <v>1127</v>
      </c>
      <c r="I10" s="1006" t="s">
        <v>1127</v>
      </c>
    </row>
    <row r="11" spans="1:10">
      <c r="A11" s="406"/>
      <c r="B11" s="406"/>
      <c r="C11" s="306"/>
      <c r="D11" s="197" t="s">
        <v>664</v>
      </c>
      <c r="E11" s="173">
        <v>1</v>
      </c>
      <c r="F11" s="173">
        <v>1</v>
      </c>
      <c r="G11" s="174">
        <v>1</v>
      </c>
      <c r="H11" s="174">
        <v>2</v>
      </c>
      <c r="I11" s="174">
        <v>2</v>
      </c>
    </row>
    <row r="12" spans="1:10">
      <c r="A12" s="406"/>
      <c r="B12" s="406"/>
      <c r="C12" s="306"/>
      <c r="D12" s="197" t="s">
        <v>1616</v>
      </c>
      <c r="E12" s="173">
        <v>1</v>
      </c>
      <c r="F12" s="173">
        <v>1</v>
      </c>
      <c r="G12" s="174">
        <v>1</v>
      </c>
      <c r="H12" s="174" t="s">
        <v>1127</v>
      </c>
      <c r="I12" s="174" t="s">
        <v>1127</v>
      </c>
    </row>
    <row r="13" spans="1:10">
      <c r="A13" s="406"/>
      <c r="B13" s="76" t="s">
        <v>642</v>
      </c>
      <c r="C13" s="1251" t="s">
        <v>665</v>
      </c>
      <c r="D13" s="1252"/>
      <c r="E13" s="28">
        <f>SUM(E14:E15)</f>
        <v>11</v>
      </c>
      <c r="F13" s="28">
        <f>SUM(F14:F15)</f>
        <v>11</v>
      </c>
      <c r="G13" s="28">
        <f>SUM(G14:G15)</f>
        <v>11</v>
      </c>
      <c r="H13" s="28">
        <f>SUM(H14:H15)</f>
        <v>11</v>
      </c>
      <c r="I13" s="28">
        <f>SUM(I14:I15)</f>
        <v>9</v>
      </c>
    </row>
    <row r="14" spans="1:10" ht="26.25" customHeight="1">
      <c r="A14" s="406"/>
      <c r="B14" s="406"/>
      <c r="C14" s="306"/>
      <c r="D14" s="416" t="s">
        <v>666</v>
      </c>
      <c r="E14" s="183">
        <v>9</v>
      </c>
      <c r="F14" s="183">
        <v>9</v>
      </c>
      <c r="G14" s="184">
        <v>9</v>
      </c>
      <c r="H14" s="184">
        <v>9</v>
      </c>
      <c r="I14" s="184">
        <v>7</v>
      </c>
    </row>
    <row r="15" spans="1:10">
      <c r="A15" s="406"/>
      <c r="B15" s="406"/>
      <c r="C15" s="306"/>
      <c r="D15" s="197" t="s">
        <v>667</v>
      </c>
      <c r="E15" s="183">
        <v>2</v>
      </c>
      <c r="F15" s="183">
        <v>2</v>
      </c>
      <c r="G15" s="184">
        <v>2</v>
      </c>
      <c r="H15" s="184">
        <v>2</v>
      </c>
      <c r="I15" s="184">
        <v>2</v>
      </c>
    </row>
    <row r="16" spans="1:10" ht="26.25" customHeight="1">
      <c r="A16" s="406"/>
      <c r="B16" s="407" t="s">
        <v>643</v>
      </c>
      <c r="C16" s="1316" t="s">
        <v>808</v>
      </c>
      <c r="D16" s="1317"/>
      <c r="E16" s="34">
        <v>9</v>
      </c>
      <c r="F16" s="34">
        <v>9</v>
      </c>
      <c r="G16" s="28">
        <v>9</v>
      </c>
      <c r="H16" s="28">
        <v>8</v>
      </c>
      <c r="I16" s="28">
        <v>7</v>
      </c>
    </row>
    <row r="17" spans="1:9">
      <c r="A17" s="169" t="s">
        <v>943</v>
      </c>
      <c r="B17" s="1250" t="s">
        <v>1498</v>
      </c>
      <c r="C17" s="1251"/>
      <c r="D17" s="1252"/>
      <c r="E17" s="28">
        <f>SUM(E18,E25,E28)</f>
        <v>14</v>
      </c>
      <c r="F17" s="28">
        <f>SUM(F18,F25,F28)</f>
        <v>15</v>
      </c>
      <c r="G17" s="28">
        <f>SUM(G18,G25,G28)</f>
        <v>16</v>
      </c>
      <c r="H17" s="28">
        <f>SUM(H18,H25,H28)</f>
        <v>15</v>
      </c>
      <c r="I17" s="28">
        <f>SUM(I18,I25,I28)</f>
        <v>15</v>
      </c>
    </row>
    <row r="18" spans="1:9">
      <c r="A18" s="406"/>
      <c r="B18" s="76" t="s">
        <v>644</v>
      </c>
      <c r="C18" s="1251" t="s">
        <v>668</v>
      </c>
      <c r="D18" s="1252"/>
      <c r="E18" s="28">
        <f>SUM(E19:E24)</f>
        <v>5</v>
      </c>
      <c r="F18" s="28">
        <f>SUM(F19:F24)</f>
        <v>6</v>
      </c>
      <c r="G18" s="28">
        <f>SUM(G19:G24)</f>
        <v>6</v>
      </c>
      <c r="H18" s="28">
        <f>SUM(H19:H24)</f>
        <v>6</v>
      </c>
      <c r="I18" s="28">
        <f>SUM(I19:I24)</f>
        <v>6</v>
      </c>
    </row>
    <row r="19" spans="1:9" ht="25.5">
      <c r="A19" s="406"/>
      <c r="B19" s="406"/>
      <c r="C19" s="306"/>
      <c r="D19" s="416" t="s">
        <v>1165</v>
      </c>
      <c r="E19" s="183">
        <v>1</v>
      </c>
      <c r="F19" s="183">
        <v>1</v>
      </c>
      <c r="G19" s="184">
        <v>1</v>
      </c>
      <c r="H19" s="184">
        <v>1</v>
      </c>
      <c r="I19" s="184">
        <v>1</v>
      </c>
    </row>
    <row r="20" spans="1:9">
      <c r="A20" s="406"/>
      <c r="B20" s="406"/>
      <c r="C20" s="306"/>
      <c r="D20" s="197" t="s">
        <v>695</v>
      </c>
      <c r="E20" s="173">
        <v>2</v>
      </c>
      <c r="F20" s="173">
        <v>2</v>
      </c>
      <c r="G20" s="174">
        <v>2</v>
      </c>
      <c r="H20" s="174">
        <v>2</v>
      </c>
      <c r="I20" s="174">
        <v>2</v>
      </c>
    </row>
    <row r="21" spans="1:9">
      <c r="A21" s="406"/>
      <c r="B21" s="406"/>
      <c r="C21" s="306"/>
      <c r="D21" s="197" t="s">
        <v>697</v>
      </c>
      <c r="E21" s="414" t="s">
        <v>1127</v>
      </c>
      <c r="F21" s="173" t="s">
        <v>1127</v>
      </c>
      <c r="G21" s="174" t="s">
        <v>1127</v>
      </c>
      <c r="H21" s="174" t="s">
        <v>1127</v>
      </c>
      <c r="I21" s="174" t="s">
        <v>1127</v>
      </c>
    </row>
    <row r="22" spans="1:9">
      <c r="A22" s="406"/>
      <c r="B22" s="406"/>
      <c r="C22" s="306"/>
      <c r="D22" s="197" t="s">
        <v>698</v>
      </c>
      <c r="E22" s="173">
        <v>1</v>
      </c>
      <c r="F22" s="173">
        <v>2</v>
      </c>
      <c r="G22" s="174">
        <v>2</v>
      </c>
      <c r="H22" s="174">
        <v>2</v>
      </c>
      <c r="I22" s="174">
        <v>2</v>
      </c>
    </row>
    <row r="23" spans="1:9">
      <c r="A23" s="406"/>
      <c r="B23" s="406"/>
      <c r="C23" s="306"/>
      <c r="D23" s="197" t="s">
        <v>700</v>
      </c>
      <c r="E23" s="173">
        <v>1</v>
      </c>
      <c r="F23" s="173">
        <v>1</v>
      </c>
      <c r="G23" s="174">
        <v>1</v>
      </c>
      <c r="H23" s="174">
        <v>1</v>
      </c>
      <c r="I23" s="174">
        <v>1</v>
      </c>
    </row>
    <row r="24" spans="1:9" ht="38.25">
      <c r="A24" s="406"/>
      <c r="B24" s="406"/>
      <c r="C24" s="306"/>
      <c r="D24" s="416" t="s">
        <v>41</v>
      </c>
      <c r="E24" s="371" t="s">
        <v>1127</v>
      </c>
      <c r="F24" s="183" t="s">
        <v>1127</v>
      </c>
      <c r="G24" s="184" t="s">
        <v>1127</v>
      </c>
      <c r="H24" s="184" t="s">
        <v>1127</v>
      </c>
      <c r="I24" s="184" t="s">
        <v>1127</v>
      </c>
    </row>
    <row r="25" spans="1:9">
      <c r="A25" s="406"/>
      <c r="B25" s="76" t="s">
        <v>642</v>
      </c>
      <c r="C25" s="1251" t="s">
        <v>867</v>
      </c>
      <c r="D25" s="1252"/>
      <c r="E25" s="28">
        <f>SUM(E26:E27)</f>
        <v>7</v>
      </c>
      <c r="F25" s="28">
        <f>SUM(F26:F27)</f>
        <v>7</v>
      </c>
      <c r="G25" s="28">
        <f>SUM(G26:G27)</f>
        <v>8</v>
      </c>
      <c r="H25" s="28">
        <f>SUM(H26:H27)</f>
        <v>8</v>
      </c>
      <c r="I25" s="28">
        <f>SUM(I26:I27)</f>
        <v>8</v>
      </c>
    </row>
    <row r="26" spans="1:9">
      <c r="A26" s="406"/>
      <c r="B26" s="406"/>
      <c r="C26" s="306"/>
      <c r="D26" s="197" t="s">
        <v>870</v>
      </c>
      <c r="E26" s="173">
        <v>7</v>
      </c>
      <c r="F26" s="173">
        <v>7</v>
      </c>
      <c r="G26" s="174">
        <v>8</v>
      </c>
      <c r="H26" s="174">
        <v>8</v>
      </c>
      <c r="I26" s="174">
        <v>8</v>
      </c>
    </row>
    <row r="27" spans="1:9">
      <c r="A27" s="406"/>
      <c r="B27" s="406"/>
      <c r="C27" s="306"/>
      <c r="D27" s="197" t="s">
        <v>871</v>
      </c>
      <c r="E27" s="414" t="s">
        <v>1127</v>
      </c>
      <c r="F27" s="173" t="s">
        <v>1127</v>
      </c>
      <c r="G27" s="174" t="s">
        <v>1127</v>
      </c>
      <c r="H27" s="174" t="s">
        <v>1127</v>
      </c>
      <c r="I27" s="174" t="s">
        <v>1127</v>
      </c>
    </row>
    <row r="28" spans="1:9">
      <c r="A28" s="406"/>
      <c r="B28" s="76" t="s">
        <v>643</v>
      </c>
      <c r="C28" s="1251" t="s">
        <v>485</v>
      </c>
      <c r="D28" s="1252"/>
      <c r="E28" s="28">
        <f>SUM(E29:E33)</f>
        <v>2</v>
      </c>
      <c r="F28" s="28">
        <f>SUM(F29:F33)</f>
        <v>2</v>
      </c>
      <c r="G28" s="28">
        <f>SUM(G29:G33)</f>
        <v>2</v>
      </c>
      <c r="H28" s="28">
        <f>SUM(H29:H33)</f>
        <v>1</v>
      </c>
      <c r="I28" s="28">
        <f>SUM(I29:I33)</f>
        <v>1</v>
      </c>
    </row>
    <row r="29" spans="1:9">
      <c r="A29" s="406"/>
      <c r="B29" s="406"/>
      <c r="C29" s="306"/>
      <c r="D29" s="197" t="s">
        <v>872</v>
      </c>
      <c r="E29" s="414" t="s">
        <v>1127</v>
      </c>
      <c r="F29" s="414" t="s">
        <v>1127</v>
      </c>
      <c r="G29" s="415" t="s">
        <v>1127</v>
      </c>
      <c r="H29" s="174" t="s">
        <v>1127</v>
      </c>
      <c r="I29" s="1006" t="s">
        <v>1127</v>
      </c>
    </row>
    <row r="30" spans="1:9">
      <c r="A30" s="406"/>
      <c r="B30" s="406"/>
      <c r="C30" s="306"/>
      <c r="D30" s="197" t="s">
        <v>874</v>
      </c>
      <c r="E30" s="173">
        <v>1</v>
      </c>
      <c r="F30" s="173">
        <v>1</v>
      </c>
      <c r="G30" s="174">
        <v>1</v>
      </c>
      <c r="H30" s="174">
        <v>1</v>
      </c>
      <c r="I30" s="174">
        <v>1</v>
      </c>
    </row>
    <row r="31" spans="1:9">
      <c r="A31" s="406"/>
      <c r="B31" s="406"/>
      <c r="C31" s="306"/>
      <c r="D31" s="197" t="s">
        <v>891</v>
      </c>
      <c r="E31" s="414" t="s">
        <v>1127</v>
      </c>
      <c r="F31" s="414" t="s">
        <v>1127</v>
      </c>
      <c r="G31" s="415" t="s">
        <v>1127</v>
      </c>
      <c r="H31" s="174" t="s">
        <v>1127</v>
      </c>
      <c r="I31" s="174" t="s">
        <v>1127</v>
      </c>
    </row>
    <row r="32" spans="1:9">
      <c r="A32" s="406"/>
      <c r="B32" s="406"/>
      <c r="C32" s="306"/>
      <c r="D32" s="197" t="s">
        <v>875</v>
      </c>
      <c r="E32" s="414" t="s">
        <v>1127</v>
      </c>
      <c r="F32" s="414" t="s">
        <v>1127</v>
      </c>
      <c r="G32" s="415" t="s">
        <v>1127</v>
      </c>
      <c r="H32" s="174" t="s">
        <v>1127</v>
      </c>
      <c r="I32" s="174" t="s">
        <v>1127</v>
      </c>
    </row>
    <row r="33" spans="1:9" ht="26.25" customHeight="1">
      <c r="A33" s="406"/>
      <c r="B33" s="406"/>
      <c r="C33" s="306"/>
      <c r="D33" s="416" t="s">
        <v>1617</v>
      </c>
      <c r="E33" s="183">
        <v>1</v>
      </c>
      <c r="F33" s="183">
        <v>1</v>
      </c>
      <c r="G33" s="184">
        <v>1</v>
      </c>
      <c r="H33" s="184" t="s">
        <v>1127</v>
      </c>
      <c r="I33" s="184" t="s">
        <v>1127</v>
      </c>
    </row>
    <row r="34" spans="1:9">
      <c r="A34" s="169" t="s">
        <v>944</v>
      </c>
      <c r="B34" s="1325" t="s">
        <v>1499</v>
      </c>
      <c r="C34" s="1326"/>
      <c r="D34" s="1327"/>
      <c r="E34" s="414" t="s">
        <v>1127</v>
      </c>
      <c r="F34" s="418" t="s">
        <v>1127</v>
      </c>
      <c r="G34" s="418" t="s">
        <v>1127</v>
      </c>
      <c r="H34" s="174" t="s">
        <v>1127</v>
      </c>
      <c r="I34" s="174" t="s">
        <v>1127</v>
      </c>
    </row>
    <row r="35" spans="1:9">
      <c r="A35" s="419"/>
      <c r="B35" s="1306" t="s">
        <v>439</v>
      </c>
      <c r="C35" s="1306"/>
      <c r="D35" s="1199"/>
      <c r="E35" s="179">
        <f>SUM(E7,E17,E34)</f>
        <v>37</v>
      </c>
      <c r="F35" s="179">
        <f>SUM(F7,F17,F34)</f>
        <v>38</v>
      </c>
      <c r="G35" s="35">
        <f>SUM(G7,G17,G34)</f>
        <v>39</v>
      </c>
      <c r="H35" s="180">
        <f>SUM(H7,H17,H34)</f>
        <v>37</v>
      </c>
      <c r="I35" s="180">
        <f>SUM(I7,I17,I34)</f>
        <v>34</v>
      </c>
    </row>
    <row r="36" spans="1:9">
      <c r="A36" s="378"/>
      <c r="B36" s="378"/>
      <c r="C36" s="378"/>
      <c r="D36" s="378"/>
      <c r="E36" s="378"/>
      <c r="F36" s="393"/>
      <c r="H36" s="420"/>
      <c r="I36" s="731" t="str">
        <f>CONCATENATE("Source : Heads of all Technical and Professional Institutions, ",District!A1)</f>
        <v>Source : Heads of all Technical and Professional Institutions, Bankura</v>
      </c>
    </row>
    <row r="37" spans="1:9">
      <c r="A37" s="378"/>
      <c r="B37" s="378"/>
      <c r="C37" s="378"/>
      <c r="D37" s="378"/>
      <c r="E37" s="378"/>
      <c r="F37" s="377"/>
      <c r="G37" s="377"/>
      <c r="H37" s="377"/>
      <c r="I37" s="377"/>
    </row>
    <row r="38" spans="1:9">
      <c r="A38" s="378"/>
      <c r="B38" s="378"/>
      <c r="C38" s="378"/>
      <c r="D38" s="378"/>
      <c r="E38" s="378"/>
      <c r="F38" s="377"/>
      <c r="G38" s="377"/>
      <c r="H38" s="377"/>
      <c r="I38" s="377"/>
    </row>
    <row r="39" spans="1:9">
      <c r="A39" s="268"/>
      <c r="B39" s="268"/>
      <c r="C39" s="268"/>
      <c r="D39" s="268"/>
      <c r="E39" s="268"/>
      <c r="F39" s="268"/>
      <c r="G39" s="268"/>
      <c r="H39" s="268"/>
      <c r="I39" s="268"/>
    </row>
    <row r="40" spans="1:9">
      <c r="A40" s="268"/>
      <c r="B40" s="268"/>
      <c r="C40" s="268"/>
      <c r="D40" s="268"/>
      <c r="E40" s="268"/>
      <c r="F40" s="268"/>
      <c r="G40" s="268"/>
      <c r="H40" s="268"/>
      <c r="I40" s="268"/>
    </row>
    <row r="41" spans="1:9">
      <c r="A41" s="268"/>
      <c r="B41" s="268"/>
      <c r="C41" s="268"/>
      <c r="D41" s="268"/>
      <c r="E41" s="268"/>
      <c r="F41" s="268"/>
      <c r="G41" s="268"/>
      <c r="H41" s="268"/>
      <c r="I41" s="268"/>
    </row>
    <row r="42" spans="1:9">
      <c r="A42" s="268"/>
      <c r="B42" s="268"/>
      <c r="C42" s="268"/>
      <c r="D42" s="268"/>
      <c r="E42" s="268"/>
      <c r="F42" s="268"/>
      <c r="G42" s="268"/>
      <c r="H42" s="268"/>
      <c r="I42" s="268"/>
    </row>
    <row r="43" spans="1:9">
      <c r="A43" s="268"/>
      <c r="B43" s="268"/>
      <c r="C43" s="268"/>
      <c r="D43" s="268"/>
      <c r="E43" s="268"/>
      <c r="F43" s="268"/>
      <c r="G43" s="268"/>
      <c r="H43" s="268"/>
      <c r="I43" s="268"/>
    </row>
  </sheetData>
  <mergeCells count="15">
    <mergeCell ref="C8:D8"/>
    <mergeCell ref="A1:I1"/>
    <mergeCell ref="A2:I2"/>
    <mergeCell ref="E4:I4"/>
    <mergeCell ref="A4:D5"/>
    <mergeCell ref="A6:D6"/>
    <mergeCell ref="B7:D7"/>
    <mergeCell ref="B35:D35"/>
    <mergeCell ref="B34:D34"/>
    <mergeCell ref="C13:D13"/>
    <mergeCell ref="C18:D18"/>
    <mergeCell ref="C28:D28"/>
    <mergeCell ref="C25:D25"/>
    <mergeCell ref="B17:D17"/>
    <mergeCell ref="C16:D16"/>
  </mergeCells>
  <phoneticPr fontId="0" type="noConversion"/>
  <printOptions horizontalCentered="1" verticalCentered="1"/>
  <pageMargins left="0.1" right="0.1" top="0.31" bottom="0.1" header="0.31" footer="0.1"/>
  <pageSetup paperSize="9" scale="97" orientation="landscape" r:id="rId1"/>
  <headerFooter alignWithMargins="0"/>
</worksheet>
</file>

<file path=xl/worksheets/sheet29.xml><?xml version="1.0" encoding="utf-8"?>
<worksheet xmlns="http://schemas.openxmlformats.org/spreadsheetml/2006/main" xmlns:r="http://schemas.openxmlformats.org/officeDocument/2006/relationships">
  <sheetPr codeName="Sheet28"/>
  <dimension ref="A1:I33"/>
  <sheetViews>
    <sheetView topLeftCell="A4" workbookViewId="0">
      <selection activeCell="M30" sqref="M30"/>
    </sheetView>
  </sheetViews>
  <sheetFormatPr defaultRowHeight="12.75"/>
  <cols>
    <col min="1" max="1" width="4.5703125" style="172" customWidth="1"/>
    <col min="2" max="3" width="9.140625" style="172"/>
    <col min="4" max="4" width="23.140625" style="172" customWidth="1"/>
    <col min="5" max="9" width="13.7109375" style="172" customWidth="1"/>
    <col min="10" max="16384" width="9.140625" style="172"/>
  </cols>
  <sheetData>
    <row r="1" spans="1:9" ht="13.5" customHeight="1">
      <c r="A1" s="1181" t="s">
        <v>1585</v>
      </c>
      <c r="B1" s="1181"/>
      <c r="C1" s="1181"/>
      <c r="D1" s="1181"/>
      <c r="E1" s="1181"/>
      <c r="F1" s="1181"/>
      <c r="G1" s="1181"/>
      <c r="H1" s="1181"/>
      <c r="I1" s="1181"/>
    </row>
    <row r="2" spans="1:9" s="206" customFormat="1" ht="17.25" customHeight="1">
      <c r="A2" s="1226" t="str">
        <f>CONCATENATE("Special and Non-formal Educational Institutions by type in the district of ",District!A1)</f>
        <v>Special and Non-formal Educational Institutions by type in the district of Bankura</v>
      </c>
      <c r="B2" s="1226"/>
      <c r="C2" s="1226"/>
      <c r="D2" s="1226"/>
      <c r="E2" s="1226"/>
      <c r="F2" s="1226"/>
      <c r="G2" s="1226"/>
      <c r="H2" s="1226"/>
      <c r="I2" s="1226"/>
    </row>
    <row r="3" spans="1:9" ht="15.95" customHeight="1">
      <c r="A3" s="259"/>
      <c r="B3" s="260"/>
      <c r="C3" s="260"/>
      <c r="D3" s="260"/>
      <c r="E3" s="260"/>
      <c r="F3" s="260"/>
      <c r="G3" s="260"/>
      <c r="H3" s="260"/>
      <c r="I3" s="114" t="s">
        <v>452</v>
      </c>
    </row>
    <row r="4" spans="1:9" ht="15.95" customHeight="1">
      <c r="A4" s="1186" t="s">
        <v>736</v>
      </c>
      <c r="B4" s="1187"/>
      <c r="C4" s="1187"/>
      <c r="D4" s="1184"/>
      <c r="E4" s="1193" t="s">
        <v>304</v>
      </c>
      <c r="F4" s="1191"/>
      <c r="G4" s="1191"/>
      <c r="H4" s="1191"/>
      <c r="I4" s="1192"/>
    </row>
    <row r="5" spans="1:9" ht="15.95" customHeight="1">
      <c r="A5" s="1242"/>
      <c r="B5" s="1218"/>
      <c r="C5" s="1218"/>
      <c r="D5" s="1185"/>
      <c r="E5" s="471" t="str">
        <f>District!B11</f>
        <v>2009-10</v>
      </c>
      <c r="F5" s="471" t="str">
        <f>District!C11</f>
        <v>2010-11</v>
      </c>
      <c r="G5" s="471" t="str">
        <f>District!D11</f>
        <v>2011-12</v>
      </c>
      <c r="H5" s="471" t="str">
        <f>District!E11</f>
        <v>2012-13</v>
      </c>
      <c r="I5" s="471" t="str">
        <f>District!F11</f>
        <v>2013-14</v>
      </c>
    </row>
    <row r="6" spans="1:9" ht="15.95" customHeight="1">
      <c r="A6" s="1201" t="s">
        <v>418</v>
      </c>
      <c r="B6" s="1202"/>
      <c r="C6" s="1202"/>
      <c r="D6" s="1257"/>
      <c r="E6" s="213" t="s">
        <v>419</v>
      </c>
      <c r="F6" s="213" t="s">
        <v>420</v>
      </c>
      <c r="G6" s="213" t="s">
        <v>421</v>
      </c>
      <c r="H6" s="213" t="s">
        <v>422</v>
      </c>
      <c r="I6" s="214" t="s">
        <v>423</v>
      </c>
    </row>
    <row r="7" spans="1:9" ht="18" customHeight="1">
      <c r="A7" s="264" t="s">
        <v>942</v>
      </c>
      <c r="B7" s="1331" t="s">
        <v>892</v>
      </c>
      <c r="C7" s="1332"/>
      <c r="D7" s="1333"/>
      <c r="E7" s="184">
        <v>449</v>
      </c>
      <c r="F7" s="223">
        <v>449</v>
      </c>
      <c r="G7" s="184">
        <v>449</v>
      </c>
      <c r="H7" s="184">
        <v>448</v>
      </c>
      <c r="I7" s="184">
        <v>447</v>
      </c>
    </row>
    <row r="8" spans="1:9" ht="18" customHeight="1">
      <c r="A8" s="83">
        <v>2</v>
      </c>
      <c r="B8" s="1328" t="s">
        <v>857</v>
      </c>
      <c r="C8" s="1329"/>
      <c r="D8" s="1330"/>
      <c r="E8" s="184">
        <v>73</v>
      </c>
      <c r="F8" s="183">
        <v>73</v>
      </c>
      <c r="G8" s="184">
        <v>73</v>
      </c>
      <c r="H8" s="184">
        <v>73</v>
      </c>
      <c r="I8" s="184">
        <v>73</v>
      </c>
    </row>
    <row r="9" spans="1:9" ht="18" customHeight="1">
      <c r="A9" s="83">
        <v>3</v>
      </c>
      <c r="B9" s="1328" t="s">
        <v>904</v>
      </c>
      <c r="C9" s="1329"/>
      <c r="D9" s="1330"/>
      <c r="E9" s="184" t="s">
        <v>1127</v>
      </c>
      <c r="F9" s="183" t="s">
        <v>1127</v>
      </c>
      <c r="G9" s="417" t="s">
        <v>1127</v>
      </c>
      <c r="H9" s="184" t="s">
        <v>1127</v>
      </c>
      <c r="I9" s="184" t="s">
        <v>1127</v>
      </c>
    </row>
    <row r="10" spans="1:9" ht="18" customHeight="1">
      <c r="A10" s="83">
        <v>4</v>
      </c>
      <c r="B10" s="1328" t="s">
        <v>858</v>
      </c>
      <c r="C10" s="1329"/>
      <c r="D10" s="1330"/>
      <c r="E10" s="184">
        <v>3</v>
      </c>
      <c r="F10" s="183">
        <v>3</v>
      </c>
      <c r="G10" s="184">
        <v>3</v>
      </c>
      <c r="H10" s="184">
        <v>3</v>
      </c>
      <c r="I10" s="184">
        <v>3</v>
      </c>
    </row>
    <row r="11" spans="1:9" ht="18" customHeight="1">
      <c r="A11" s="83">
        <v>5</v>
      </c>
      <c r="B11" s="1328" t="s">
        <v>915</v>
      </c>
      <c r="C11" s="1329"/>
      <c r="D11" s="1330"/>
      <c r="E11" s="184">
        <v>16</v>
      </c>
      <c r="F11" s="183">
        <v>16</v>
      </c>
      <c r="G11" s="184">
        <v>16</v>
      </c>
      <c r="H11" s="184">
        <v>15</v>
      </c>
      <c r="I11" s="184">
        <v>15</v>
      </c>
    </row>
    <row r="12" spans="1:9" ht="18" customHeight="1">
      <c r="A12" s="83">
        <v>6</v>
      </c>
      <c r="B12" s="1328" t="s">
        <v>905</v>
      </c>
      <c r="C12" s="1329"/>
      <c r="D12" s="1330"/>
      <c r="E12" s="184">
        <v>1</v>
      </c>
      <c r="F12" s="183">
        <v>1</v>
      </c>
      <c r="G12" s="184">
        <v>1</v>
      </c>
      <c r="H12" s="184">
        <v>1</v>
      </c>
      <c r="I12" s="184">
        <v>1</v>
      </c>
    </row>
    <row r="13" spans="1:9" ht="27.75" customHeight="1">
      <c r="A13" s="422">
        <v>7</v>
      </c>
      <c r="B13" s="1334" t="s">
        <v>861</v>
      </c>
      <c r="C13" s="1335"/>
      <c r="D13" s="1336"/>
      <c r="E13" s="184">
        <v>4</v>
      </c>
      <c r="F13" s="183">
        <v>4</v>
      </c>
      <c r="G13" s="184">
        <v>4</v>
      </c>
      <c r="H13" s="184">
        <v>4</v>
      </c>
      <c r="I13" s="184">
        <v>4</v>
      </c>
    </row>
    <row r="14" spans="1:9" ht="18" customHeight="1">
      <c r="A14" s="83">
        <v>8</v>
      </c>
      <c r="B14" s="1328" t="s">
        <v>909</v>
      </c>
      <c r="C14" s="1329"/>
      <c r="D14" s="1330"/>
      <c r="E14" s="44" t="s">
        <v>1127</v>
      </c>
      <c r="F14" s="43" t="s">
        <v>1127</v>
      </c>
      <c r="G14" s="147" t="s">
        <v>1127</v>
      </c>
      <c r="H14" s="44" t="s">
        <v>1127</v>
      </c>
      <c r="I14" s="44" t="s">
        <v>1127</v>
      </c>
    </row>
    <row r="15" spans="1:9" ht="18" customHeight="1">
      <c r="A15" s="83">
        <v>9</v>
      </c>
      <c r="B15" s="1328" t="s">
        <v>910</v>
      </c>
      <c r="C15" s="1329"/>
      <c r="D15" s="1330"/>
      <c r="E15" s="184">
        <v>5331</v>
      </c>
      <c r="F15" s="183">
        <v>5319</v>
      </c>
      <c r="G15" s="184">
        <v>5332</v>
      </c>
      <c r="H15" s="184">
        <v>5331</v>
      </c>
      <c r="I15" s="184">
        <v>5323</v>
      </c>
    </row>
    <row r="16" spans="1:9" ht="18" customHeight="1">
      <c r="A16" s="83">
        <v>10</v>
      </c>
      <c r="B16" s="1328" t="s">
        <v>809</v>
      </c>
      <c r="C16" s="1329"/>
      <c r="D16" s="1330"/>
      <c r="E16" s="184">
        <v>2</v>
      </c>
      <c r="F16" s="183">
        <v>2</v>
      </c>
      <c r="G16" s="184">
        <v>2</v>
      </c>
      <c r="H16" s="184">
        <v>2</v>
      </c>
      <c r="I16" s="184">
        <v>2</v>
      </c>
    </row>
    <row r="17" spans="1:9" ht="54" customHeight="1">
      <c r="A17" s="422">
        <v>11</v>
      </c>
      <c r="B17" s="1334" t="s">
        <v>810</v>
      </c>
      <c r="C17" s="1335"/>
      <c r="D17" s="1336"/>
      <c r="E17" s="184">
        <v>1</v>
      </c>
      <c r="F17" s="183">
        <v>1</v>
      </c>
      <c r="G17" s="184">
        <v>1</v>
      </c>
      <c r="H17" s="184">
        <v>1</v>
      </c>
      <c r="I17" s="184">
        <v>1</v>
      </c>
    </row>
    <row r="18" spans="1:9" ht="18" customHeight="1">
      <c r="A18" s="83">
        <v>12</v>
      </c>
      <c r="B18" s="1329" t="s">
        <v>1618</v>
      </c>
      <c r="C18" s="1329"/>
      <c r="D18" s="1330"/>
      <c r="E18" s="194">
        <v>1</v>
      </c>
      <c r="F18" s="183">
        <v>1</v>
      </c>
      <c r="G18" s="194">
        <v>1</v>
      </c>
      <c r="H18" s="194">
        <v>1</v>
      </c>
      <c r="I18" s="194">
        <v>1</v>
      </c>
    </row>
    <row r="19" spans="1:9" ht="18" customHeight="1">
      <c r="A19" s="419"/>
      <c r="B19" s="1306" t="s">
        <v>439</v>
      </c>
      <c r="C19" s="1306"/>
      <c r="D19" s="1199"/>
      <c r="E19" s="179">
        <f>SUM(E7:E18)</f>
        <v>5881</v>
      </c>
      <c r="F19" s="179">
        <f>SUM(F7:F18)</f>
        <v>5869</v>
      </c>
      <c r="G19" s="179">
        <f>SUM(G7:G18)</f>
        <v>5882</v>
      </c>
      <c r="H19" s="180">
        <f>SUM(H7:H18)</f>
        <v>5879</v>
      </c>
      <c r="I19" s="180">
        <f>SUM(I7:I18)</f>
        <v>5870</v>
      </c>
    </row>
    <row r="20" spans="1:9">
      <c r="A20" s="378"/>
      <c r="B20" s="378"/>
      <c r="C20" s="378"/>
      <c r="F20" s="725" t="s">
        <v>1028</v>
      </c>
      <c r="G20" s="726" t="s">
        <v>911</v>
      </c>
      <c r="H20" s="726"/>
      <c r="I20" s="516"/>
    </row>
    <row r="21" spans="1:9">
      <c r="A21" s="378"/>
      <c r="B21" s="378"/>
      <c r="C21" s="378"/>
      <c r="D21" s="377"/>
      <c r="F21" s="651"/>
      <c r="G21" s="726" t="s">
        <v>862</v>
      </c>
      <c r="H21" s="516"/>
      <c r="I21" s="516"/>
    </row>
    <row r="22" spans="1:9">
      <c r="A22" s="378"/>
      <c r="B22" s="378"/>
      <c r="C22" s="378"/>
      <c r="D22" s="377"/>
      <c r="F22" s="651"/>
      <c r="G22" s="726" t="s">
        <v>1248</v>
      </c>
      <c r="H22" s="516"/>
      <c r="I22" s="516"/>
    </row>
    <row r="23" spans="1:9">
      <c r="A23" s="378"/>
      <c r="B23" s="378"/>
      <c r="C23" s="378"/>
      <c r="D23" s="377"/>
      <c r="F23" s="651"/>
      <c r="G23" s="726" t="s">
        <v>1342</v>
      </c>
      <c r="H23" s="516"/>
      <c r="I23" s="516"/>
    </row>
    <row r="24" spans="1:9">
      <c r="A24" s="378"/>
      <c r="B24" s="378"/>
      <c r="C24" s="378"/>
      <c r="D24" s="377"/>
      <c r="F24" s="651"/>
      <c r="G24" s="726" t="s">
        <v>811</v>
      </c>
      <c r="H24" s="516"/>
      <c r="I24" s="516"/>
    </row>
    <row r="25" spans="1:9">
      <c r="A25" s="378"/>
      <c r="B25" s="266"/>
      <c r="C25" s="266"/>
      <c r="D25" s="377"/>
      <c r="F25" s="651"/>
      <c r="G25" s="726" t="s">
        <v>1343</v>
      </c>
      <c r="H25" s="516"/>
      <c r="I25" s="516"/>
    </row>
    <row r="26" spans="1:9">
      <c r="A26" s="378"/>
      <c r="B26" s="266"/>
      <c r="C26" s="266"/>
      <c r="D26" s="377"/>
      <c r="F26" s="651"/>
      <c r="G26" s="712" t="s">
        <v>327</v>
      </c>
      <c r="H26" s="712"/>
      <c r="I26" s="712"/>
    </row>
    <row r="27" spans="1:9">
      <c r="A27" s="378"/>
      <c r="B27" s="378"/>
      <c r="C27" s="378"/>
      <c r="D27" s="377"/>
      <c r="F27" s="651"/>
      <c r="G27" s="726" t="s">
        <v>1361</v>
      </c>
      <c r="H27" s="516"/>
      <c r="I27" s="516"/>
    </row>
    <row r="28" spans="1:9">
      <c r="A28" s="378"/>
      <c r="B28" s="378"/>
      <c r="C28" s="378"/>
      <c r="D28" s="377"/>
      <c r="F28" s="651"/>
      <c r="G28" s="726" t="s">
        <v>812</v>
      </c>
      <c r="H28" s="516"/>
      <c r="I28" s="516"/>
    </row>
    <row r="29" spans="1:9">
      <c r="A29" s="268"/>
      <c r="E29" s="268"/>
    </row>
    <row r="30" spans="1:9">
      <c r="A30" s="268"/>
      <c r="E30" s="268"/>
    </row>
    <row r="31" spans="1:9">
      <c r="A31" s="268"/>
      <c r="E31" s="268"/>
      <c r="F31" s="268"/>
      <c r="G31" s="268"/>
      <c r="H31" s="268"/>
      <c r="I31" s="268"/>
    </row>
    <row r="32" spans="1:9">
      <c r="A32" s="268"/>
      <c r="E32" s="268"/>
      <c r="F32" s="268"/>
      <c r="G32" s="268"/>
      <c r="H32" s="268"/>
      <c r="I32" s="268"/>
    </row>
    <row r="33" spans="1:9">
      <c r="A33" s="268"/>
      <c r="B33" s="268"/>
      <c r="C33" s="268"/>
      <c r="D33" s="268"/>
      <c r="E33" s="268"/>
      <c r="F33" s="268"/>
      <c r="G33" s="268"/>
      <c r="H33" s="268"/>
      <c r="I33" s="268"/>
    </row>
  </sheetData>
  <mergeCells count="18">
    <mergeCell ref="B19:D19"/>
    <mergeCell ref="B17:D17"/>
    <mergeCell ref="B18:D18"/>
    <mergeCell ref="B9:D9"/>
    <mergeCell ref="B16:D16"/>
    <mergeCell ref="B10:D10"/>
    <mergeCell ref="B11:D11"/>
    <mergeCell ref="B12:D12"/>
    <mergeCell ref="B13:D13"/>
    <mergeCell ref="B14:D14"/>
    <mergeCell ref="B15:D15"/>
    <mergeCell ref="E4:I4"/>
    <mergeCell ref="A4:D5"/>
    <mergeCell ref="B8:D8"/>
    <mergeCell ref="A1:I1"/>
    <mergeCell ref="A2:I2"/>
    <mergeCell ref="A6:D6"/>
    <mergeCell ref="B7:D7"/>
  </mergeCells>
  <phoneticPr fontId="0" type="noConversion"/>
  <printOptions horizontalCentered="1"/>
  <pageMargins left="0.1" right="0.1" top="0.91" bottom="0.1" header="0.7" footer="0.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sheetPr codeName="Sheet11"/>
  <dimension ref="A3:J41"/>
  <sheetViews>
    <sheetView showGridLines="0" workbookViewId="0">
      <selection activeCell="C46" sqref="C46"/>
    </sheetView>
  </sheetViews>
  <sheetFormatPr defaultRowHeight="12.75"/>
  <sheetData>
    <row r="3" spans="1:10">
      <c r="J3" s="9"/>
    </row>
    <row r="4" spans="1:10">
      <c r="A4" s="171"/>
      <c r="B4" s="171"/>
      <c r="C4" s="171"/>
      <c r="D4" s="171"/>
      <c r="E4" s="171"/>
      <c r="F4" s="171"/>
      <c r="G4" s="171"/>
      <c r="H4" s="171"/>
      <c r="J4" s="9"/>
    </row>
    <row r="5" spans="1:10" ht="35.25">
      <c r="A5" s="1169" t="s">
        <v>1348</v>
      </c>
      <c r="B5" s="1169"/>
      <c r="C5" s="1169"/>
      <c r="D5" s="1169"/>
      <c r="E5" s="1169"/>
      <c r="F5" s="1169"/>
      <c r="G5" s="1169"/>
      <c r="H5" s="1169"/>
      <c r="I5" s="139"/>
      <c r="J5" s="9"/>
    </row>
    <row r="6" spans="1:10">
      <c r="A6" s="172"/>
      <c r="B6" s="172"/>
      <c r="C6" s="172"/>
      <c r="D6" s="172"/>
      <c r="E6" s="172"/>
      <c r="F6" s="172"/>
      <c r="G6" s="172"/>
      <c r="H6" s="172"/>
      <c r="J6" s="9"/>
    </row>
    <row r="7" spans="1:10">
      <c r="A7" s="172"/>
      <c r="B7" s="172"/>
      <c r="C7" s="172"/>
      <c r="D7" s="172"/>
      <c r="E7" s="172"/>
      <c r="F7" s="172"/>
      <c r="G7" s="172"/>
      <c r="H7" s="172"/>
      <c r="J7" s="9"/>
    </row>
    <row r="8" spans="1:10">
      <c r="A8" s="172"/>
      <c r="B8" s="172"/>
      <c r="C8" s="172"/>
      <c r="D8" s="172"/>
      <c r="E8" s="172"/>
      <c r="F8" s="172"/>
      <c r="G8" s="172"/>
      <c r="H8" s="172"/>
      <c r="J8" s="9"/>
    </row>
    <row r="9" spans="1:10" ht="18.75">
      <c r="A9" s="1172" t="s">
        <v>1323</v>
      </c>
      <c r="B9" s="1173"/>
      <c r="C9" s="1173"/>
      <c r="D9" s="1173"/>
      <c r="E9" s="1173"/>
      <c r="F9" s="1173"/>
      <c r="G9" s="1173"/>
      <c r="H9" s="1173"/>
      <c r="I9" s="140"/>
      <c r="J9" s="9"/>
    </row>
    <row r="10" spans="1:10" ht="18.75">
      <c r="A10" s="1173"/>
      <c r="B10" s="1173"/>
      <c r="C10" s="1173"/>
      <c r="D10" s="1173"/>
      <c r="E10" s="1173"/>
      <c r="F10" s="1173"/>
      <c r="G10" s="1173"/>
      <c r="H10" s="1173"/>
      <c r="I10" s="140"/>
      <c r="J10" s="9"/>
    </row>
    <row r="11" spans="1:10" ht="18.75">
      <c r="A11" s="1173"/>
      <c r="B11" s="1173"/>
      <c r="C11" s="1173"/>
      <c r="D11" s="1173"/>
      <c r="E11" s="1173"/>
      <c r="F11" s="1173"/>
      <c r="G11" s="1173"/>
      <c r="H11" s="1173"/>
      <c r="I11" s="140"/>
    </row>
    <row r="12" spans="1:10" ht="18.75">
      <c r="A12" s="1173"/>
      <c r="B12" s="1173"/>
      <c r="C12" s="1173"/>
      <c r="D12" s="1173"/>
      <c r="E12" s="1173"/>
      <c r="F12" s="1173"/>
      <c r="G12" s="1173"/>
      <c r="H12" s="1173"/>
      <c r="I12" s="140"/>
    </row>
    <row r="13" spans="1:10" ht="18.75">
      <c r="A13" s="1173"/>
      <c r="B13" s="1173"/>
      <c r="C13" s="1173"/>
      <c r="D13" s="1173"/>
      <c r="E13" s="1173"/>
      <c r="F13" s="1173"/>
      <c r="G13" s="1173"/>
      <c r="H13" s="1173"/>
      <c r="I13" s="140"/>
    </row>
    <row r="14" spans="1:10">
      <c r="A14" s="1173"/>
      <c r="B14" s="1173"/>
      <c r="C14" s="1173"/>
      <c r="D14" s="1173"/>
      <c r="E14" s="1173"/>
      <c r="F14" s="1173"/>
      <c r="G14" s="1173"/>
      <c r="H14" s="1173"/>
      <c r="I14" s="141"/>
    </row>
    <row r="15" spans="1:10">
      <c r="A15" s="1173"/>
      <c r="B15" s="1173"/>
      <c r="C15" s="1173"/>
      <c r="D15" s="1173"/>
      <c r="E15" s="1173"/>
      <c r="F15" s="1173"/>
      <c r="G15" s="1173"/>
      <c r="H15" s="1173"/>
      <c r="I15" s="141"/>
    </row>
    <row r="16" spans="1:10">
      <c r="A16" s="1173"/>
      <c r="B16" s="1173"/>
      <c r="C16" s="1173"/>
      <c r="D16" s="1173"/>
      <c r="E16" s="1173"/>
      <c r="F16" s="1173"/>
      <c r="G16" s="1173"/>
      <c r="H16" s="1173"/>
    </row>
    <row r="17" spans="1:9">
      <c r="A17" s="1173"/>
      <c r="B17" s="1173"/>
      <c r="C17" s="1173"/>
      <c r="D17" s="1173"/>
      <c r="E17" s="1173"/>
      <c r="F17" s="1173"/>
      <c r="G17" s="1173"/>
      <c r="H17" s="1173"/>
    </row>
    <row r="18" spans="1:9" ht="14.1" customHeight="1">
      <c r="A18" s="1173"/>
      <c r="B18" s="1173"/>
      <c r="C18" s="1173"/>
      <c r="D18" s="1173"/>
      <c r="E18" s="1173"/>
      <c r="F18" s="1173"/>
      <c r="G18" s="1173"/>
      <c r="H18" s="1173"/>
      <c r="I18" s="140"/>
    </row>
    <row r="19" spans="1:9" ht="18.75">
      <c r="A19" s="1173"/>
      <c r="B19" s="1173"/>
      <c r="C19" s="1173"/>
      <c r="D19" s="1173"/>
      <c r="E19" s="1173"/>
      <c r="F19" s="1173"/>
      <c r="G19" s="1173"/>
      <c r="H19" s="1173"/>
      <c r="I19" s="140"/>
    </row>
    <row r="20" spans="1:9" ht="18.75">
      <c r="A20" s="1173"/>
      <c r="B20" s="1173"/>
      <c r="C20" s="1173"/>
      <c r="D20" s="1173"/>
      <c r="E20" s="1173"/>
      <c r="F20" s="1173"/>
      <c r="G20" s="1173"/>
      <c r="H20" s="1173"/>
      <c r="I20" s="140"/>
    </row>
    <row r="21" spans="1:9" ht="18.75">
      <c r="A21" s="1173"/>
      <c r="B21" s="1173"/>
      <c r="C21" s="1173"/>
      <c r="D21" s="1173"/>
      <c r="E21" s="1173"/>
      <c r="F21" s="1173"/>
      <c r="G21" s="1173"/>
      <c r="H21" s="1173"/>
      <c r="I21" s="140"/>
    </row>
    <row r="22" spans="1:9" ht="18.75">
      <c r="A22" s="1173"/>
      <c r="B22" s="1173"/>
      <c r="C22" s="1173"/>
      <c r="D22" s="1173"/>
      <c r="E22" s="1173"/>
      <c r="F22" s="1173"/>
      <c r="G22" s="1173"/>
      <c r="H22" s="1173"/>
      <c r="I22" s="140"/>
    </row>
    <row r="23" spans="1:9" ht="18.75">
      <c r="A23" s="1173"/>
      <c r="B23" s="1173"/>
      <c r="C23" s="1173"/>
      <c r="D23" s="1173"/>
      <c r="E23" s="1173"/>
      <c r="F23" s="1173"/>
      <c r="G23" s="1173"/>
      <c r="H23" s="1173"/>
      <c r="I23" s="140"/>
    </row>
    <row r="24" spans="1:9" ht="18.75">
      <c r="A24" s="1173"/>
      <c r="B24" s="1173"/>
      <c r="C24" s="1173"/>
      <c r="D24" s="1173"/>
      <c r="E24" s="1173"/>
      <c r="F24" s="1173"/>
      <c r="G24" s="1173"/>
      <c r="H24" s="1173"/>
      <c r="I24" s="142"/>
    </row>
    <row r="25" spans="1:9" ht="18.75">
      <c r="A25" s="1173"/>
      <c r="B25" s="1173"/>
      <c r="C25" s="1173"/>
      <c r="D25" s="1173"/>
      <c r="E25" s="1173"/>
      <c r="F25" s="1173"/>
      <c r="G25" s="1173"/>
      <c r="H25" s="1173"/>
      <c r="I25" s="142"/>
    </row>
    <row r="26" spans="1:9" ht="30" customHeight="1">
      <c r="A26" s="1173"/>
      <c r="B26" s="1173"/>
      <c r="C26" s="1173"/>
      <c r="D26" s="1173"/>
      <c r="E26" s="1173"/>
      <c r="F26" s="1173"/>
      <c r="G26" s="1173"/>
      <c r="H26" s="1173"/>
      <c r="I26" s="142"/>
    </row>
    <row r="27" spans="1:9" ht="18.75">
      <c r="A27" s="1173"/>
      <c r="B27" s="1173"/>
      <c r="C27" s="1173"/>
      <c r="D27" s="1173"/>
      <c r="E27" s="1173"/>
      <c r="F27" s="1173"/>
      <c r="G27" s="1173"/>
      <c r="H27" s="1173"/>
      <c r="I27" s="142"/>
    </row>
    <row r="28" spans="1:9">
      <c r="A28" s="1173"/>
      <c r="B28" s="1173"/>
      <c r="C28" s="1173"/>
      <c r="D28" s="1173"/>
      <c r="E28" s="1173"/>
      <c r="F28" s="1173"/>
      <c r="G28" s="1173"/>
      <c r="H28" s="1173"/>
    </row>
    <row r="29" spans="1:9">
      <c r="A29" s="1173"/>
      <c r="B29" s="1173"/>
      <c r="C29" s="1173"/>
      <c r="D29" s="1173"/>
      <c r="E29" s="1173"/>
      <c r="F29" s="1173"/>
      <c r="G29" s="1173"/>
      <c r="H29" s="1173"/>
    </row>
    <row r="30" spans="1:9">
      <c r="A30" s="1174"/>
      <c r="B30" s="1174"/>
      <c r="C30" s="1174"/>
      <c r="D30" s="1174"/>
      <c r="E30" s="1174"/>
      <c r="F30" s="1174"/>
      <c r="G30" s="1174"/>
      <c r="H30" s="1174"/>
    </row>
    <row r="31" spans="1:9">
      <c r="A31" s="1174"/>
      <c r="B31" s="1174"/>
      <c r="C31" s="1174"/>
      <c r="D31" s="1174"/>
      <c r="E31" s="1174"/>
      <c r="F31" s="1174"/>
      <c r="G31" s="1174"/>
      <c r="H31" s="1174"/>
    </row>
    <row r="32" spans="1:9">
      <c r="A32" s="1174"/>
      <c r="B32" s="1174"/>
      <c r="C32" s="1174"/>
      <c r="D32" s="1174"/>
      <c r="E32" s="1174"/>
      <c r="F32" s="1174"/>
      <c r="G32" s="1174"/>
      <c r="H32" s="1174"/>
    </row>
    <row r="33" spans="1:9">
      <c r="A33" s="1174"/>
      <c r="B33" s="1174"/>
      <c r="C33" s="1174"/>
      <c r="D33" s="1174"/>
      <c r="E33" s="1174"/>
      <c r="F33" s="1174"/>
      <c r="G33" s="1174"/>
      <c r="H33" s="1174"/>
    </row>
    <row r="34" spans="1:9">
      <c r="A34" s="1174"/>
      <c r="B34" s="1174"/>
      <c r="C34" s="1174"/>
      <c r="D34" s="1174"/>
      <c r="E34" s="1174"/>
      <c r="F34" s="1174"/>
      <c r="G34" s="1174"/>
      <c r="H34" s="1174"/>
    </row>
    <row r="35" spans="1:9">
      <c r="A35" s="1174"/>
      <c r="B35" s="1174"/>
      <c r="C35" s="1174"/>
      <c r="D35" s="1174"/>
      <c r="E35" s="1174"/>
      <c r="F35" s="1174"/>
      <c r="G35" s="1174"/>
      <c r="H35" s="1174"/>
    </row>
    <row r="36" spans="1:9">
      <c r="D36" s="1171"/>
      <c r="E36" s="1171"/>
      <c r="F36" s="1171"/>
      <c r="G36" s="1171"/>
      <c r="H36" s="1171"/>
      <c r="I36" s="38"/>
    </row>
    <row r="37" spans="1:9">
      <c r="D37" s="38"/>
      <c r="E37" s="38"/>
      <c r="F37" s="38"/>
      <c r="G37" s="38"/>
      <c r="H37" s="38"/>
      <c r="I37" s="38"/>
    </row>
    <row r="38" spans="1:9" ht="15.75">
      <c r="A38" s="833"/>
      <c r="B38" s="833"/>
      <c r="C38" s="833"/>
      <c r="D38" s="1170" t="s">
        <v>1684</v>
      </c>
      <c r="E38" s="1170"/>
      <c r="F38" s="1170"/>
      <c r="G38" s="1170"/>
      <c r="H38" s="1170"/>
      <c r="I38" s="138"/>
    </row>
    <row r="39" spans="1:9" ht="15.75">
      <c r="A39" s="1175" t="s">
        <v>1349</v>
      </c>
      <c r="B39" s="1175"/>
      <c r="C39" s="833"/>
      <c r="D39" s="1170" t="s">
        <v>367</v>
      </c>
      <c r="E39" s="1170"/>
      <c r="F39" s="1170"/>
      <c r="G39" s="1170"/>
      <c r="H39" s="1170"/>
      <c r="I39" s="138"/>
    </row>
    <row r="40" spans="1:9" ht="15.75">
      <c r="A40" s="1175" t="s">
        <v>1721</v>
      </c>
      <c r="B40" s="1175"/>
      <c r="C40" s="1175"/>
      <c r="D40" s="1170" t="s">
        <v>1351</v>
      </c>
      <c r="E40" s="1170"/>
      <c r="F40" s="1170"/>
      <c r="G40" s="1170"/>
      <c r="H40" s="1170"/>
      <c r="I40" s="138"/>
    </row>
    <row r="41" spans="1:9" ht="15.75">
      <c r="A41" s="833"/>
      <c r="B41" s="833"/>
      <c r="C41" s="833"/>
      <c r="D41" s="1170" t="s">
        <v>1352</v>
      </c>
      <c r="E41" s="1170"/>
      <c r="F41" s="1170"/>
      <c r="G41" s="1170"/>
      <c r="H41" s="1170"/>
      <c r="I41" s="138"/>
    </row>
  </sheetData>
  <mergeCells count="9">
    <mergeCell ref="A5:H5"/>
    <mergeCell ref="D38:H38"/>
    <mergeCell ref="D36:H36"/>
    <mergeCell ref="A9:H35"/>
    <mergeCell ref="D41:H41"/>
    <mergeCell ref="A39:B39"/>
    <mergeCell ref="D39:H39"/>
    <mergeCell ref="D40:H40"/>
    <mergeCell ref="A40:C40"/>
  </mergeCells>
  <phoneticPr fontId="0" type="noConversion"/>
  <printOptions horizontalCentered="1"/>
  <pageMargins left="0.1" right="0.1" top="1" bottom="1" header="0.5" footer="0.5"/>
  <pageSetup paperSize="9" orientation="portrait" blackAndWhite="1" horizontalDpi="4294967295" r:id="rId1"/>
  <headerFooter alignWithMargins="0"/>
</worksheet>
</file>

<file path=xl/worksheets/sheet30.xml><?xml version="1.0" encoding="utf-8"?>
<worksheet xmlns="http://schemas.openxmlformats.org/spreadsheetml/2006/main" xmlns:r="http://schemas.openxmlformats.org/officeDocument/2006/relationships">
  <sheetPr codeName="Sheet29"/>
  <dimension ref="A1:P44"/>
  <sheetViews>
    <sheetView workbookViewId="0">
      <selection activeCell="M30" sqref="M30"/>
    </sheetView>
  </sheetViews>
  <sheetFormatPr defaultRowHeight="12.75"/>
  <cols>
    <col min="1" max="1" width="2.28515625" style="172" customWidth="1"/>
    <col min="2" max="2" width="2.85546875" style="172" customWidth="1"/>
    <col min="3" max="3" width="1" style="172" customWidth="1"/>
    <col min="4" max="4" width="48.85546875" style="172" customWidth="1"/>
    <col min="5" max="5" width="8.42578125" style="172" customWidth="1"/>
    <col min="6" max="7" width="8" style="172" customWidth="1"/>
    <col min="8" max="8" width="8.28515625" style="172" customWidth="1"/>
    <col min="9" max="9" width="9.140625" style="172"/>
    <col min="10" max="10" width="9" style="172" customWidth="1"/>
    <col min="11" max="11" width="9.7109375" style="172" customWidth="1"/>
    <col min="12" max="12" width="9.28515625" style="172" customWidth="1"/>
    <col min="13" max="14" width="8.140625" style="172" customWidth="1"/>
    <col min="15" max="16384" width="9.140625" style="172"/>
  </cols>
  <sheetData>
    <row r="1" spans="1:14" ht="12" customHeight="1">
      <c r="A1" s="1223" t="s">
        <v>1584</v>
      </c>
      <c r="B1" s="1223"/>
      <c r="C1" s="1223"/>
      <c r="D1" s="1223"/>
      <c r="E1" s="1223"/>
      <c r="F1" s="1223"/>
      <c r="G1" s="1223"/>
      <c r="H1" s="1223"/>
      <c r="I1" s="1223"/>
      <c r="J1" s="1223"/>
      <c r="K1" s="1223"/>
      <c r="L1" s="1223"/>
      <c r="M1" s="1223"/>
      <c r="N1" s="1223"/>
    </row>
    <row r="2" spans="1:14" s="206" customFormat="1" ht="12.75" customHeight="1">
      <c r="A2" s="1342" t="str">
        <f>CONCATENATE("Students by sex in different type of General Educational Institutions in the district of ",District!A1)</f>
        <v>Students by sex in different type of General Educational Institutions in the district of Bankura</v>
      </c>
      <c r="B2" s="1342"/>
      <c r="C2" s="1342"/>
      <c r="D2" s="1342"/>
      <c r="E2" s="1342"/>
      <c r="F2" s="1342"/>
      <c r="G2" s="1342"/>
      <c r="H2" s="1342"/>
      <c r="I2" s="1342"/>
      <c r="J2" s="1342"/>
      <c r="K2" s="1342"/>
      <c r="L2" s="1342"/>
      <c r="M2" s="1342"/>
      <c r="N2" s="1342"/>
    </row>
    <row r="3" spans="1:14" ht="12" customHeight="1">
      <c r="A3" s="206"/>
      <c r="B3" s="206"/>
      <c r="C3" s="206"/>
      <c r="D3" s="206"/>
      <c r="E3" s="289"/>
      <c r="F3" s="289"/>
      <c r="G3" s="289"/>
      <c r="H3" s="289"/>
      <c r="I3" s="289"/>
      <c r="J3" s="289"/>
      <c r="K3" s="289"/>
      <c r="L3" s="289"/>
      <c r="M3" s="289"/>
      <c r="N3" s="198" t="s">
        <v>452</v>
      </c>
    </row>
    <row r="4" spans="1:14" ht="12.75" customHeight="1">
      <c r="A4" s="1258" t="s">
        <v>736</v>
      </c>
      <c r="B4" s="1259"/>
      <c r="C4" s="1259"/>
      <c r="D4" s="1260"/>
      <c r="E4" s="1346" t="s">
        <v>304</v>
      </c>
      <c r="F4" s="1346"/>
      <c r="G4" s="1346"/>
      <c r="H4" s="1346"/>
      <c r="I4" s="1346"/>
      <c r="J4" s="1346"/>
      <c r="K4" s="1346"/>
      <c r="L4" s="1346"/>
      <c r="M4" s="1346"/>
      <c r="N4" s="1210"/>
    </row>
    <row r="5" spans="1:14" ht="12.75" customHeight="1">
      <c r="A5" s="1261"/>
      <c r="B5" s="1262"/>
      <c r="C5" s="1262"/>
      <c r="D5" s="1263"/>
      <c r="E5" s="1193" t="str">
        <f>District!B14</f>
        <v>2009-10</v>
      </c>
      <c r="F5" s="1192"/>
      <c r="G5" s="1193" t="str">
        <f>District!D14</f>
        <v>2010-11</v>
      </c>
      <c r="H5" s="1192"/>
      <c r="I5" s="1193" t="str">
        <f>District!F14</f>
        <v>2011-12</v>
      </c>
      <c r="J5" s="1192"/>
      <c r="K5" s="1193" t="str">
        <f>District!H14</f>
        <v>2012-13</v>
      </c>
      <c r="L5" s="1192"/>
      <c r="M5" s="1193" t="str">
        <f>District!J14</f>
        <v>2013-14</v>
      </c>
      <c r="N5" s="1192"/>
    </row>
    <row r="6" spans="1:14" ht="12.75" customHeight="1">
      <c r="A6" s="1264"/>
      <c r="B6" s="1265"/>
      <c r="C6" s="1265"/>
      <c r="D6" s="1266"/>
      <c r="E6" s="249" t="s">
        <v>531</v>
      </c>
      <c r="F6" s="233" t="s">
        <v>532</v>
      </c>
      <c r="G6" s="233" t="s">
        <v>531</v>
      </c>
      <c r="H6" s="233" t="s">
        <v>532</v>
      </c>
      <c r="I6" s="233" t="s">
        <v>531</v>
      </c>
      <c r="J6" s="233" t="s">
        <v>532</v>
      </c>
      <c r="K6" s="233" t="s">
        <v>531</v>
      </c>
      <c r="L6" s="233" t="s">
        <v>532</v>
      </c>
      <c r="M6" s="233" t="s">
        <v>531</v>
      </c>
      <c r="N6" s="249" t="s">
        <v>532</v>
      </c>
    </row>
    <row r="7" spans="1:14" ht="12.75" customHeight="1">
      <c r="A7" s="1343" t="s">
        <v>418</v>
      </c>
      <c r="B7" s="1344"/>
      <c r="C7" s="1344"/>
      <c r="D7" s="1345"/>
      <c r="E7" s="424" t="s">
        <v>419</v>
      </c>
      <c r="F7" s="424" t="s">
        <v>420</v>
      </c>
      <c r="G7" s="424" t="s">
        <v>421</v>
      </c>
      <c r="H7" s="424" t="s">
        <v>422</v>
      </c>
      <c r="I7" s="425" t="s">
        <v>423</v>
      </c>
      <c r="J7" s="424" t="s">
        <v>424</v>
      </c>
      <c r="K7" s="424" t="s">
        <v>440</v>
      </c>
      <c r="L7" s="424" t="s">
        <v>441</v>
      </c>
      <c r="M7" s="424" t="s">
        <v>442</v>
      </c>
      <c r="N7" s="204" t="s">
        <v>443</v>
      </c>
    </row>
    <row r="8" spans="1:14" ht="12.75" customHeight="1">
      <c r="A8" s="426" t="s">
        <v>942</v>
      </c>
      <c r="B8" s="1350" t="s">
        <v>30</v>
      </c>
      <c r="C8" s="1351"/>
      <c r="D8" s="1352"/>
      <c r="E8" s="28">
        <f t="shared" ref="E8:J8" si="0">E9+E14+E19+E24</f>
        <v>353934</v>
      </c>
      <c r="F8" s="28">
        <f t="shared" si="0"/>
        <v>292024</v>
      </c>
      <c r="G8" s="28">
        <f t="shared" si="0"/>
        <v>354949</v>
      </c>
      <c r="H8" s="28">
        <f t="shared" si="0"/>
        <v>298920</v>
      </c>
      <c r="I8" s="28">
        <f t="shared" si="0"/>
        <v>350383</v>
      </c>
      <c r="J8" s="28">
        <f t="shared" si="0"/>
        <v>292042</v>
      </c>
      <c r="K8" s="28">
        <f>K9+K14+K19+K24</f>
        <v>365946</v>
      </c>
      <c r="L8" s="28">
        <f>L9+L14+L19+L24</f>
        <v>298273</v>
      </c>
      <c r="M8" s="28">
        <f>M9+M14+M19+M24</f>
        <v>393234</v>
      </c>
      <c r="N8" s="28">
        <f>N9+N14+N19+N24</f>
        <v>325958</v>
      </c>
    </row>
    <row r="9" spans="1:14" ht="24" customHeight="1">
      <c r="A9" s="421"/>
      <c r="B9" s="407" t="s">
        <v>644</v>
      </c>
      <c r="C9" s="1337" t="s">
        <v>1166</v>
      </c>
      <c r="D9" s="1353"/>
      <c r="E9" s="34">
        <f t="shared" ref="E9:J9" si="1">SUM(E10:E13)</f>
        <v>150452</v>
      </c>
      <c r="F9" s="34">
        <f t="shared" si="1"/>
        <v>144023</v>
      </c>
      <c r="G9" s="34">
        <f t="shared" si="1"/>
        <v>148019</v>
      </c>
      <c r="H9" s="34">
        <f t="shared" si="1"/>
        <v>141529</v>
      </c>
      <c r="I9" s="34">
        <f t="shared" si="1"/>
        <v>144102</v>
      </c>
      <c r="J9" s="34">
        <f t="shared" si="1"/>
        <v>138553</v>
      </c>
      <c r="K9" s="34">
        <f>SUM(K10:K13)</f>
        <v>145578</v>
      </c>
      <c r="L9" s="34">
        <f>SUM(L10:L13)</f>
        <v>137740</v>
      </c>
      <c r="M9" s="34">
        <f>SUM(M10:M13)</f>
        <v>149695</v>
      </c>
      <c r="N9" s="34">
        <f>SUM(N10:N13)</f>
        <v>141661</v>
      </c>
    </row>
    <row r="10" spans="1:14" ht="12.75" customHeight="1">
      <c r="A10" s="421"/>
      <c r="B10" s="421"/>
      <c r="C10" s="177"/>
      <c r="D10" s="175" t="s">
        <v>633</v>
      </c>
      <c r="E10" s="152">
        <v>149682</v>
      </c>
      <c r="F10" s="152">
        <v>143483</v>
      </c>
      <c r="G10" s="108">
        <v>147031</v>
      </c>
      <c r="H10" s="108">
        <v>140971</v>
      </c>
      <c r="I10" s="108">
        <v>143045</v>
      </c>
      <c r="J10" s="108">
        <v>137686</v>
      </c>
      <c r="K10" s="108">
        <v>144187</v>
      </c>
      <c r="L10" s="108">
        <v>136794</v>
      </c>
      <c r="M10" s="108">
        <v>147927</v>
      </c>
      <c r="N10" s="108">
        <v>140601</v>
      </c>
    </row>
    <row r="11" spans="1:14" ht="12.75" customHeight="1">
      <c r="A11" s="421"/>
      <c r="B11" s="421"/>
      <c r="C11" s="177"/>
      <c r="D11" s="175" t="s">
        <v>634</v>
      </c>
      <c r="E11" s="152">
        <v>65</v>
      </c>
      <c r="F11" s="152">
        <v>142</v>
      </c>
      <c r="G11" s="108">
        <v>95</v>
      </c>
      <c r="H11" s="108">
        <v>83</v>
      </c>
      <c r="I11" s="108">
        <v>90</v>
      </c>
      <c r="J11" s="108">
        <v>78</v>
      </c>
      <c r="K11" s="108">
        <v>91</v>
      </c>
      <c r="L11" s="108">
        <v>66</v>
      </c>
      <c r="M11" s="108">
        <v>96</v>
      </c>
      <c r="N11" s="108">
        <v>67</v>
      </c>
    </row>
    <row r="12" spans="1:14" ht="12.75" customHeight="1">
      <c r="A12" s="421"/>
      <c r="B12" s="421"/>
      <c r="C12" s="177"/>
      <c r="D12" s="197" t="s">
        <v>641</v>
      </c>
      <c r="E12" s="152">
        <v>705</v>
      </c>
      <c r="F12" s="152">
        <v>398</v>
      </c>
      <c r="G12" s="108">
        <v>893</v>
      </c>
      <c r="H12" s="108">
        <v>475</v>
      </c>
      <c r="I12" s="108">
        <v>967</v>
      </c>
      <c r="J12" s="108">
        <v>789</v>
      </c>
      <c r="K12" s="108">
        <v>1300</v>
      </c>
      <c r="L12" s="108">
        <v>880</v>
      </c>
      <c r="M12" s="108">
        <v>1672</v>
      </c>
      <c r="N12" s="108">
        <v>993</v>
      </c>
    </row>
    <row r="13" spans="1:14" ht="12.75" customHeight="1">
      <c r="A13" s="421"/>
      <c r="B13" s="421"/>
      <c r="C13" s="177"/>
      <c r="D13" s="175" t="s">
        <v>737</v>
      </c>
      <c r="E13" s="766" t="s">
        <v>1127</v>
      </c>
      <c r="F13" s="766" t="s">
        <v>1127</v>
      </c>
      <c r="G13" s="767" t="s">
        <v>1127</v>
      </c>
      <c r="H13" s="767" t="s">
        <v>1127</v>
      </c>
      <c r="I13" s="767" t="s">
        <v>1127</v>
      </c>
      <c r="J13" s="767" t="s">
        <v>1127</v>
      </c>
      <c r="K13" s="108" t="s">
        <v>1127</v>
      </c>
      <c r="L13" s="108" t="s">
        <v>1127</v>
      </c>
      <c r="M13" s="108" t="s">
        <v>1127</v>
      </c>
      <c r="N13" s="108" t="s">
        <v>1127</v>
      </c>
    </row>
    <row r="14" spans="1:14" ht="24.75" customHeight="1">
      <c r="A14" s="421"/>
      <c r="B14" s="407" t="s">
        <v>642</v>
      </c>
      <c r="C14" s="1354" t="s">
        <v>1167</v>
      </c>
      <c r="D14" s="1355"/>
      <c r="E14" s="28">
        <f t="shared" ref="E14:N14" si="2">SUM(E15:E18)</f>
        <v>13532</v>
      </c>
      <c r="F14" s="28">
        <f t="shared" si="2"/>
        <v>6788</v>
      </c>
      <c r="G14" s="28">
        <f t="shared" si="2"/>
        <v>14597</v>
      </c>
      <c r="H14" s="28">
        <f t="shared" si="2"/>
        <v>8501</v>
      </c>
      <c r="I14" s="28">
        <f t="shared" si="2"/>
        <v>15021</v>
      </c>
      <c r="J14" s="28">
        <f t="shared" si="2"/>
        <v>9918</v>
      </c>
      <c r="K14" s="28">
        <f t="shared" si="2"/>
        <v>15267</v>
      </c>
      <c r="L14" s="28">
        <f t="shared" si="2"/>
        <v>9957</v>
      </c>
      <c r="M14" s="28">
        <f t="shared" si="2"/>
        <v>26686</v>
      </c>
      <c r="N14" s="28">
        <f t="shared" si="2"/>
        <v>23162</v>
      </c>
    </row>
    <row r="15" spans="1:14" ht="12.75" customHeight="1">
      <c r="A15" s="421"/>
      <c r="B15" s="421"/>
      <c r="C15" s="177"/>
      <c r="D15" s="175" t="s">
        <v>912</v>
      </c>
      <c r="E15" s="152">
        <v>13336</v>
      </c>
      <c r="F15" s="108">
        <v>6659</v>
      </c>
      <c r="G15" s="108">
        <v>14357</v>
      </c>
      <c r="H15" s="108">
        <v>8362</v>
      </c>
      <c r="I15" s="108">
        <v>14749</v>
      </c>
      <c r="J15" s="108">
        <v>9712</v>
      </c>
      <c r="K15" s="108">
        <v>15069</v>
      </c>
      <c r="L15" s="108">
        <v>9765</v>
      </c>
      <c r="M15" s="108">
        <v>26398</v>
      </c>
      <c r="N15" s="108">
        <v>22785</v>
      </c>
    </row>
    <row r="16" spans="1:14" ht="12.75" customHeight="1">
      <c r="A16" s="421"/>
      <c r="B16" s="421"/>
      <c r="C16" s="177"/>
      <c r="D16" s="175" t="s">
        <v>282</v>
      </c>
      <c r="E16" s="152">
        <v>35</v>
      </c>
      <c r="F16" s="108">
        <v>28</v>
      </c>
      <c r="G16" s="108">
        <v>49</v>
      </c>
      <c r="H16" s="108">
        <v>41</v>
      </c>
      <c r="I16" s="108">
        <v>90</v>
      </c>
      <c r="J16" s="108">
        <v>81</v>
      </c>
      <c r="K16" s="108">
        <v>198</v>
      </c>
      <c r="L16" s="108">
        <v>192</v>
      </c>
      <c r="M16" s="108">
        <v>288</v>
      </c>
      <c r="N16" s="108">
        <v>377</v>
      </c>
    </row>
    <row r="17" spans="1:16" ht="12.75" customHeight="1">
      <c r="A17" s="421"/>
      <c r="B17" s="421"/>
      <c r="C17" s="177"/>
      <c r="D17" s="197" t="s">
        <v>641</v>
      </c>
      <c r="E17" s="152">
        <v>161</v>
      </c>
      <c r="F17" s="108">
        <v>101</v>
      </c>
      <c r="G17" s="108">
        <v>191</v>
      </c>
      <c r="H17" s="108">
        <v>98</v>
      </c>
      <c r="I17" s="108">
        <v>182</v>
      </c>
      <c r="J17" s="108">
        <v>125</v>
      </c>
      <c r="K17" s="108" t="s">
        <v>1127</v>
      </c>
      <c r="L17" s="108" t="s">
        <v>1127</v>
      </c>
      <c r="M17" s="108" t="s">
        <v>1127</v>
      </c>
      <c r="N17" s="108" t="s">
        <v>1127</v>
      </c>
    </row>
    <row r="18" spans="1:16" ht="12.75" customHeight="1">
      <c r="A18" s="421"/>
      <c r="B18" s="421"/>
      <c r="C18" s="177"/>
      <c r="D18" s="175" t="s">
        <v>737</v>
      </c>
      <c r="E18" s="33" t="s">
        <v>1127</v>
      </c>
      <c r="F18" s="39" t="s">
        <v>1127</v>
      </c>
      <c r="G18" s="39" t="s">
        <v>1127</v>
      </c>
      <c r="H18" s="39" t="s">
        <v>1127</v>
      </c>
      <c r="I18" s="39" t="s">
        <v>1127</v>
      </c>
      <c r="J18" s="39" t="s">
        <v>1127</v>
      </c>
      <c r="K18" s="39" t="s">
        <v>1127</v>
      </c>
      <c r="L18" s="39" t="s">
        <v>1127</v>
      </c>
      <c r="M18" s="39" t="s">
        <v>1127</v>
      </c>
      <c r="N18" s="39" t="s">
        <v>1127</v>
      </c>
    </row>
    <row r="19" spans="1:16" ht="24.75" customHeight="1">
      <c r="A19" s="421"/>
      <c r="B19" s="407" t="s">
        <v>643</v>
      </c>
      <c r="C19" s="1337" t="s">
        <v>1168</v>
      </c>
      <c r="D19" s="1338"/>
      <c r="E19" s="28">
        <f t="shared" ref="E19:N19" si="3">SUM(E20:E23)</f>
        <v>88762</v>
      </c>
      <c r="F19" s="28">
        <f t="shared" si="3"/>
        <v>61389</v>
      </c>
      <c r="G19" s="28">
        <f t="shared" si="3"/>
        <v>87863</v>
      </c>
      <c r="H19" s="28">
        <f t="shared" si="3"/>
        <v>67519</v>
      </c>
      <c r="I19" s="28">
        <f t="shared" si="3"/>
        <v>78120</v>
      </c>
      <c r="J19" s="28">
        <f t="shared" si="3"/>
        <v>56613</v>
      </c>
      <c r="K19" s="28">
        <f t="shared" si="3"/>
        <v>66546</v>
      </c>
      <c r="L19" s="28">
        <f t="shared" si="3"/>
        <v>50795</v>
      </c>
      <c r="M19" s="28">
        <f t="shared" si="3"/>
        <v>69650</v>
      </c>
      <c r="N19" s="28">
        <f t="shared" si="3"/>
        <v>56595</v>
      </c>
    </row>
    <row r="20" spans="1:16" ht="12.75" customHeight="1">
      <c r="A20" s="421"/>
      <c r="B20" s="421"/>
      <c r="C20" s="177"/>
      <c r="D20" s="175" t="s">
        <v>912</v>
      </c>
      <c r="E20" s="152">
        <v>87019</v>
      </c>
      <c r="F20" s="108">
        <v>59266</v>
      </c>
      <c r="G20" s="108">
        <v>86083</v>
      </c>
      <c r="H20" s="108">
        <v>65235</v>
      </c>
      <c r="I20" s="108">
        <v>76399</v>
      </c>
      <c r="J20" s="108">
        <v>54063</v>
      </c>
      <c r="K20" s="108">
        <v>64953</v>
      </c>
      <c r="L20" s="108">
        <v>48674</v>
      </c>
      <c r="M20" s="108">
        <v>67284</v>
      </c>
      <c r="N20" s="108">
        <v>54358</v>
      </c>
    </row>
    <row r="21" spans="1:16" ht="12.75" customHeight="1">
      <c r="A21" s="421"/>
      <c r="B21" s="421"/>
      <c r="C21" s="177"/>
      <c r="D21" s="175" t="s">
        <v>281</v>
      </c>
      <c r="E21" s="152">
        <v>1134</v>
      </c>
      <c r="F21" s="108">
        <v>1201</v>
      </c>
      <c r="G21" s="108">
        <v>1026</v>
      </c>
      <c r="H21" s="108">
        <v>1287</v>
      </c>
      <c r="I21" s="108">
        <v>1121</v>
      </c>
      <c r="J21" s="108">
        <v>1302</v>
      </c>
      <c r="K21" s="108">
        <v>1192</v>
      </c>
      <c r="L21" s="108">
        <v>1351</v>
      </c>
      <c r="M21" s="108">
        <v>1152</v>
      </c>
      <c r="N21" s="108">
        <v>1167</v>
      </c>
    </row>
    <row r="22" spans="1:16" ht="12.75" customHeight="1">
      <c r="A22" s="421"/>
      <c r="B22" s="421"/>
      <c r="C22" s="177"/>
      <c r="D22" s="175" t="s">
        <v>641</v>
      </c>
      <c r="E22" s="152">
        <v>609</v>
      </c>
      <c r="F22" s="108">
        <v>922</v>
      </c>
      <c r="G22" s="108">
        <v>754</v>
      </c>
      <c r="H22" s="108">
        <v>997</v>
      </c>
      <c r="I22" s="108">
        <v>600</v>
      </c>
      <c r="J22" s="108">
        <v>1248</v>
      </c>
      <c r="K22" s="108">
        <v>401</v>
      </c>
      <c r="L22" s="108">
        <v>770</v>
      </c>
      <c r="M22" s="108">
        <v>1214</v>
      </c>
      <c r="N22" s="108">
        <v>1070</v>
      </c>
    </row>
    <row r="23" spans="1:16" ht="12.75" customHeight="1">
      <c r="A23" s="421"/>
      <c r="B23" s="421"/>
      <c r="C23" s="177"/>
      <c r="D23" s="175" t="s">
        <v>737</v>
      </c>
      <c r="E23" s="33" t="s">
        <v>1127</v>
      </c>
      <c r="F23" s="39" t="s">
        <v>1127</v>
      </c>
      <c r="G23" s="39" t="s">
        <v>1127</v>
      </c>
      <c r="H23" s="39" t="s">
        <v>1127</v>
      </c>
      <c r="I23" s="39" t="s">
        <v>1127</v>
      </c>
      <c r="J23" s="39" t="s">
        <v>1127</v>
      </c>
      <c r="K23" s="39" t="s">
        <v>1127</v>
      </c>
      <c r="L23" s="39" t="s">
        <v>1127</v>
      </c>
      <c r="M23" s="39" t="s">
        <v>1127</v>
      </c>
      <c r="N23" s="39" t="s">
        <v>1127</v>
      </c>
    </row>
    <row r="24" spans="1:16" ht="24" customHeight="1">
      <c r="A24" s="421"/>
      <c r="B24" s="407" t="s">
        <v>645</v>
      </c>
      <c r="C24" s="1337" t="s">
        <v>687</v>
      </c>
      <c r="D24" s="1338"/>
      <c r="E24" s="28">
        <f>SUM(E25:E29)</f>
        <v>101188</v>
      </c>
      <c r="F24" s="28">
        <f>SUM(F25:F29)</f>
        <v>79824</v>
      </c>
      <c r="G24" s="28">
        <f>SUM(G25:G29)</f>
        <v>104470</v>
      </c>
      <c r="H24" s="28">
        <f>SUM(H25:H29)</f>
        <v>81371</v>
      </c>
      <c r="I24" s="28">
        <f t="shared" ref="I24:N24" si="4">SUM(I25:I29)</f>
        <v>113140</v>
      </c>
      <c r="J24" s="28">
        <f t="shared" si="4"/>
        <v>86958</v>
      </c>
      <c r="K24" s="28">
        <f t="shared" si="4"/>
        <v>138555</v>
      </c>
      <c r="L24" s="28">
        <f t="shared" si="4"/>
        <v>99781</v>
      </c>
      <c r="M24" s="28">
        <f t="shared" si="4"/>
        <v>147203</v>
      </c>
      <c r="N24" s="28">
        <f t="shared" si="4"/>
        <v>104540</v>
      </c>
      <c r="P24" s="856"/>
    </row>
    <row r="25" spans="1:16" ht="12.75" customHeight="1">
      <c r="A25" s="421"/>
      <c r="B25" s="421"/>
      <c r="C25" s="177"/>
      <c r="D25" s="197" t="s">
        <v>192</v>
      </c>
      <c r="E25" s="152">
        <v>97526</v>
      </c>
      <c r="F25" s="108">
        <v>77177</v>
      </c>
      <c r="G25" s="108">
        <v>101639</v>
      </c>
      <c r="H25" s="108">
        <v>79025</v>
      </c>
      <c r="I25" s="108">
        <v>110564</v>
      </c>
      <c r="J25" s="108">
        <v>84792</v>
      </c>
      <c r="K25" s="108">
        <v>135459</v>
      </c>
      <c r="L25" s="108">
        <v>97234</v>
      </c>
      <c r="M25" s="108">
        <v>144215</v>
      </c>
      <c r="N25" s="108">
        <v>101961</v>
      </c>
    </row>
    <row r="26" spans="1:16" ht="12.75" customHeight="1">
      <c r="A26" s="421"/>
      <c r="B26" s="421"/>
      <c r="C26" s="177"/>
      <c r="D26" s="175" t="s">
        <v>193</v>
      </c>
      <c r="E26" s="152">
        <v>1589</v>
      </c>
      <c r="F26" s="108">
        <v>686</v>
      </c>
      <c r="G26" s="108">
        <v>790</v>
      </c>
      <c r="H26" s="108">
        <v>344</v>
      </c>
      <c r="I26" s="108">
        <v>113</v>
      </c>
      <c r="J26" s="108">
        <v>13</v>
      </c>
      <c r="K26" s="108">
        <v>165</v>
      </c>
      <c r="L26" s="108">
        <v>20</v>
      </c>
      <c r="M26" s="108">
        <v>157</v>
      </c>
      <c r="N26" s="108">
        <v>11</v>
      </c>
    </row>
    <row r="27" spans="1:16" ht="12.75" customHeight="1">
      <c r="A27" s="421"/>
      <c r="B27" s="421"/>
      <c r="C27" s="177"/>
      <c r="D27" s="175" t="s">
        <v>641</v>
      </c>
      <c r="E27" s="152">
        <v>499</v>
      </c>
      <c r="F27" s="108">
        <v>236</v>
      </c>
      <c r="G27" s="108">
        <v>420</v>
      </c>
      <c r="H27" s="108">
        <v>252</v>
      </c>
      <c r="I27" s="108">
        <v>767</v>
      </c>
      <c r="J27" s="108">
        <v>347</v>
      </c>
      <c r="K27" s="108">
        <v>1127</v>
      </c>
      <c r="L27" s="108">
        <v>649</v>
      </c>
      <c r="M27" s="108">
        <v>790</v>
      </c>
      <c r="N27" s="108">
        <v>784</v>
      </c>
      <c r="P27" s="812"/>
    </row>
    <row r="28" spans="1:16" ht="12.75" customHeight="1">
      <c r="A28" s="421"/>
      <c r="B28" s="421"/>
      <c r="C28" s="177"/>
      <c r="D28" s="175" t="s">
        <v>737</v>
      </c>
      <c r="E28" s="33" t="s">
        <v>1127</v>
      </c>
      <c r="F28" s="39" t="s">
        <v>1127</v>
      </c>
      <c r="G28" s="39" t="s">
        <v>1127</v>
      </c>
      <c r="H28" s="39" t="s">
        <v>1127</v>
      </c>
      <c r="I28" s="39" t="s">
        <v>1127</v>
      </c>
      <c r="J28" s="39" t="s">
        <v>1127</v>
      </c>
      <c r="K28" s="39" t="s">
        <v>1127</v>
      </c>
      <c r="L28" s="39" t="s">
        <v>1127</v>
      </c>
      <c r="M28" s="39" t="s">
        <v>1127</v>
      </c>
      <c r="N28" s="39" t="s">
        <v>1127</v>
      </c>
    </row>
    <row r="29" spans="1:16" ht="12.75" customHeight="1">
      <c r="A29" s="421"/>
      <c r="B29" s="421"/>
      <c r="C29" s="177"/>
      <c r="D29" s="175" t="s">
        <v>656</v>
      </c>
      <c r="E29" s="152">
        <v>1574</v>
      </c>
      <c r="F29" s="108">
        <v>1725</v>
      </c>
      <c r="G29" s="108">
        <v>1621</v>
      </c>
      <c r="H29" s="108">
        <v>1750</v>
      </c>
      <c r="I29" s="108">
        <v>1696</v>
      </c>
      <c r="J29" s="108">
        <v>1806</v>
      </c>
      <c r="K29" s="108">
        <v>1804</v>
      </c>
      <c r="L29" s="108">
        <v>1878</v>
      </c>
      <c r="M29" s="108">
        <v>2041</v>
      </c>
      <c r="N29" s="108">
        <v>1784</v>
      </c>
    </row>
    <row r="30" spans="1:16" ht="12.75" customHeight="1">
      <c r="A30" s="426" t="s">
        <v>943</v>
      </c>
      <c r="B30" s="1356" t="s">
        <v>31</v>
      </c>
      <c r="C30" s="1357"/>
      <c r="D30" s="1358"/>
      <c r="E30" s="409">
        <v>16380</v>
      </c>
      <c r="F30" s="409">
        <v>10339</v>
      </c>
      <c r="G30" s="409">
        <v>19724</v>
      </c>
      <c r="H30" s="409">
        <v>11155</v>
      </c>
      <c r="I30" s="409">
        <v>21131</v>
      </c>
      <c r="J30" s="409">
        <v>13285</v>
      </c>
      <c r="K30" s="409">
        <v>21233</v>
      </c>
      <c r="L30" s="409">
        <v>14028</v>
      </c>
      <c r="M30" s="409">
        <v>22275</v>
      </c>
      <c r="N30" s="409">
        <v>16136</v>
      </c>
    </row>
    <row r="31" spans="1:16" ht="24" customHeight="1">
      <c r="A31" s="428" t="s">
        <v>944</v>
      </c>
      <c r="B31" s="1339" t="s">
        <v>34</v>
      </c>
      <c r="C31" s="1340"/>
      <c r="D31" s="1341"/>
      <c r="E31" s="44" t="s">
        <v>1127</v>
      </c>
      <c r="F31" s="44" t="s">
        <v>1127</v>
      </c>
      <c r="G31" s="44" t="s">
        <v>1127</v>
      </c>
      <c r="H31" s="44" t="s">
        <v>1127</v>
      </c>
      <c r="I31" s="44" t="s">
        <v>1127</v>
      </c>
      <c r="J31" s="44" t="s">
        <v>1127</v>
      </c>
      <c r="K31" s="44" t="s">
        <v>1127</v>
      </c>
      <c r="L31" s="44" t="s">
        <v>1127</v>
      </c>
      <c r="M31" s="44" t="s">
        <v>1127</v>
      </c>
      <c r="N31" s="44" t="s">
        <v>1127</v>
      </c>
    </row>
    <row r="32" spans="1:16" ht="12.75" customHeight="1">
      <c r="A32" s="429" t="s">
        <v>945</v>
      </c>
      <c r="B32" s="1347" t="s">
        <v>914</v>
      </c>
      <c r="C32" s="1348"/>
      <c r="D32" s="1349"/>
      <c r="E32" s="450">
        <v>736</v>
      </c>
      <c r="F32" s="98">
        <v>269</v>
      </c>
      <c r="G32" s="449">
        <v>690</v>
      </c>
      <c r="H32" s="98">
        <v>351</v>
      </c>
      <c r="I32" s="449">
        <v>1285</v>
      </c>
      <c r="J32" s="98">
        <v>683</v>
      </c>
      <c r="K32" s="449">
        <v>742</v>
      </c>
      <c r="L32" s="98">
        <v>264</v>
      </c>
      <c r="M32" s="449">
        <v>797</v>
      </c>
      <c r="N32" s="98">
        <v>423</v>
      </c>
    </row>
    <row r="33" spans="1:14" ht="12" customHeight="1">
      <c r="A33" s="727"/>
      <c r="B33" s="268"/>
      <c r="C33" s="268"/>
      <c r="E33" s="268"/>
      <c r="F33" s="268"/>
      <c r="H33" s="727" t="s">
        <v>610</v>
      </c>
      <c r="I33" s="727" t="s">
        <v>805</v>
      </c>
      <c r="J33" s="21"/>
      <c r="K33" s="21"/>
      <c r="L33" s="21"/>
      <c r="M33" s="21"/>
      <c r="N33" s="21"/>
    </row>
    <row r="34" spans="1:14" ht="12" customHeight="1">
      <c r="A34" s="268"/>
      <c r="B34" s="268"/>
      <c r="C34" s="268"/>
      <c r="E34" s="268"/>
      <c r="F34" s="268"/>
      <c r="H34" s="727"/>
      <c r="I34" s="727" t="s">
        <v>806</v>
      </c>
      <c r="J34" s="21"/>
      <c r="K34" s="21"/>
      <c r="L34" s="21"/>
      <c r="M34" s="21"/>
      <c r="N34" s="21"/>
    </row>
    <row r="35" spans="1:14" ht="12" customHeight="1">
      <c r="A35" s="268"/>
      <c r="B35" s="268"/>
      <c r="C35" s="268"/>
      <c r="D35" s="268"/>
      <c r="E35" s="268"/>
      <c r="F35" s="268"/>
      <c r="H35" s="727"/>
      <c r="I35" s="732" t="s">
        <v>1247</v>
      </c>
      <c r="J35" s="430"/>
      <c r="K35" s="430"/>
      <c r="L35" s="430"/>
      <c r="M35" s="430"/>
      <c r="N35" s="430"/>
    </row>
    <row r="36" spans="1:14" ht="12" customHeight="1">
      <c r="A36" s="268"/>
      <c r="B36" s="268"/>
      <c r="C36" s="268"/>
      <c r="D36" s="268"/>
      <c r="E36" s="268"/>
      <c r="F36" s="268"/>
      <c r="H36" s="727"/>
      <c r="I36" s="732" t="s">
        <v>335</v>
      </c>
      <c r="J36" s="430"/>
      <c r="K36" s="430"/>
      <c r="L36" s="430"/>
      <c r="M36" s="430"/>
      <c r="N36" s="430"/>
    </row>
    <row r="37" spans="1:14" ht="12" customHeight="1">
      <c r="A37" s="268"/>
      <c r="B37" s="268"/>
      <c r="C37" s="268"/>
      <c r="D37" s="268"/>
      <c r="E37" s="268"/>
      <c r="F37" s="268"/>
      <c r="H37" s="727"/>
      <c r="I37" s="727" t="s">
        <v>655</v>
      </c>
      <c r="J37" s="21"/>
      <c r="K37" s="21"/>
      <c r="L37" s="21"/>
      <c r="M37" s="21"/>
      <c r="N37" s="21"/>
    </row>
    <row r="38" spans="1:14" ht="12" customHeight="1">
      <c r="A38" s="268"/>
      <c r="B38" s="268"/>
      <c r="C38" s="268"/>
      <c r="D38" s="268"/>
      <c r="E38" s="268"/>
      <c r="F38" s="268"/>
      <c r="H38" s="727"/>
      <c r="I38" s="727" t="s">
        <v>738</v>
      </c>
      <c r="J38" s="21"/>
      <c r="K38" s="21"/>
      <c r="L38" s="21"/>
      <c r="M38" s="21"/>
      <c r="N38" s="21"/>
    </row>
    <row r="39" spans="1:14" ht="12" customHeight="1">
      <c r="A39" s="268"/>
      <c r="B39" s="268"/>
      <c r="C39" s="268"/>
      <c r="D39" s="268"/>
      <c r="E39" s="268"/>
      <c r="F39" s="268"/>
      <c r="H39" s="727"/>
      <c r="I39" s="727" t="s">
        <v>807</v>
      </c>
      <c r="J39" s="21"/>
      <c r="K39" s="21"/>
      <c r="L39" s="21"/>
      <c r="M39" s="21"/>
      <c r="N39" s="21"/>
    </row>
    <row r="40" spans="1:14">
      <c r="A40" s="268"/>
      <c r="B40" s="268"/>
      <c r="C40" s="268"/>
      <c r="D40" s="268"/>
      <c r="E40" s="268"/>
      <c r="F40" s="268"/>
      <c r="G40" s="21"/>
      <c r="H40" s="21"/>
      <c r="I40" s="21"/>
      <c r="J40" s="21"/>
      <c r="K40" s="21"/>
      <c r="L40" s="21"/>
      <c r="M40" s="21"/>
      <c r="N40" s="21"/>
    </row>
    <row r="41" spans="1:14">
      <c r="A41" s="268"/>
      <c r="B41" s="268"/>
      <c r="C41" s="268"/>
      <c r="D41" s="268"/>
      <c r="E41" s="268"/>
      <c r="F41" s="268"/>
      <c r="G41" s="268"/>
      <c r="H41" s="268"/>
      <c r="I41" s="268"/>
      <c r="J41" s="268"/>
      <c r="K41" s="268"/>
      <c r="L41" s="268"/>
      <c r="M41" s="268"/>
      <c r="N41" s="268"/>
    </row>
    <row r="42" spans="1:14">
      <c r="A42" s="268"/>
      <c r="B42" s="268"/>
      <c r="C42" s="268"/>
      <c r="D42" s="268"/>
      <c r="E42" s="268"/>
      <c r="F42" s="268"/>
      <c r="G42" s="268"/>
      <c r="H42" s="268"/>
      <c r="I42" s="268"/>
      <c r="J42" s="268"/>
      <c r="K42" s="268"/>
      <c r="L42" s="268"/>
      <c r="M42" s="268"/>
      <c r="N42" s="268"/>
    </row>
    <row r="43" spans="1:14">
      <c r="A43" s="268"/>
      <c r="B43" s="268"/>
      <c r="C43" s="268"/>
      <c r="D43" s="268"/>
      <c r="E43" s="268"/>
      <c r="F43" s="268"/>
      <c r="G43" s="268"/>
      <c r="H43" s="268"/>
      <c r="I43" s="268"/>
      <c r="J43" s="268"/>
      <c r="K43" s="268"/>
      <c r="L43" s="268"/>
      <c r="M43" s="268"/>
      <c r="N43" s="268"/>
    </row>
    <row r="44" spans="1:14">
      <c r="A44" s="268"/>
      <c r="B44" s="268"/>
      <c r="C44" s="268"/>
      <c r="D44" s="268"/>
      <c r="E44" s="268"/>
      <c r="F44" s="268"/>
      <c r="G44" s="268"/>
      <c r="H44" s="268"/>
      <c r="I44" s="268"/>
      <c r="J44" s="268"/>
      <c r="K44" s="268"/>
      <c r="L44" s="268"/>
      <c r="M44" s="268"/>
      <c r="N44" s="268"/>
    </row>
  </sheetData>
  <mergeCells count="18">
    <mergeCell ref="B32:D32"/>
    <mergeCell ref="B8:D8"/>
    <mergeCell ref="C9:D9"/>
    <mergeCell ref="C14:D14"/>
    <mergeCell ref="C19:D19"/>
    <mergeCell ref="B30:D30"/>
    <mergeCell ref="K5:L5"/>
    <mergeCell ref="A4:D6"/>
    <mergeCell ref="A1:N1"/>
    <mergeCell ref="C24:D24"/>
    <mergeCell ref="B31:D31"/>
    <mergeCell ref="A2:N2"/>
    <mergeCell ref="A7:D7"/>
    <mergeCell ref="E5:F5"/>
    <mergeCell ref="G5:H5"/>
    <mergeCell ref="I5:J5"/>
    <mergeCell ref="E4:N4"/>
    <mergeCell ref="M5:N5"/>
  </mergeCells>
  <phoneticPr fontId="0" type="noConversion"/>
  <printOptions horizontalCentered="1"/>
  <pageMargins left="0.1" right="0.1" top="0.59" bottom="0.14000000000000001" header="0.51" footer="0.14000000000000001"/>
  <pageSetup paperSize="9" orientation="landscape" r:id="rId1"/>
  <headerFooter alignWithMargins="0"/>
</worksheet>
</file>

<file path=xl/worksheets/sheet31.xml><?xml version="1.0" encoding="utf-8"?>
<worksheet xmlns="http://schemas.openxmlformats.org/spreadsheetml/2006/main" xmlns:r="http://schemas.openxmlformats.org/officeDocument/2006/relationships">
  <sheetPr codeName="Sheet30"/>
  <dimension ref="A1:N42"/>
  <sheetViews>
    <sheetView topLeftCell="A19" workbookViewId="0">
      <selection activeCell="M30" sqref="M30"/>
    </sheetView>
  </sheetViews>
  <sheetFormatPr defaultRowHeight="12.75"/>
  <cols>
    <col min="1" max="1" width="2.28515625" style="172" customWidth="1"/>
    <col min="2" max="2" width="3.140625" style="172" customWidth="1"/>
    <col min="3" max="3" width="1.28515625" style="172" customWidth="1"/>
    <col min="4" max="4" width="42.7109375" style="172" customWidth="1"/>
    <col min="5" max="14" width="8.5703125" style="172" customWidth="1"/>
    <col min="15" max="16384" width="9.140625" style="172"/>
  </cols>
  <sheetData>
    <row r="1" spans="1:14" ht="12" customHeight="1">
      <c r="A1" s="1223" t="s">
        <v>1583</v>
      </c>
      <c r="B1" s="1223"/>
      <c r="C1" s="1223"/>
      <c r="D1" s="1223"/>
      <c r="E1" s="1223"/>
      <c r="F1" s="1223"/>
      <c r="G1" s="1223"/>
      <c r="H1" s="1223"/>
      <c r="I1" s="1223"/>
      <c r="J1" s="1223"/>
      <c r="K1" s="1223"/>
      <c r="L1" s="1223"/>
      <c r="M1" s="1223"/>
      <c r="N1" s="1223"/>
    </row>
    <row r="2" spans="1:14" s="206" customFormat="1" ht="13.5" customHeight="1">
      <c r="A2" s="1342" t="str">
        <f>CONCATENATE("Students by sex in different type of Professional &amp; Technical Educational Institutions in the district of ",District!A1)</f>
        <v>Students by sex in different type of Professional &amp; Technical Educational Institutions in the district of Bankura</v>
      </c>
      <c r="B2" s="1342"/>
      <c r="C2" s="1342"/>
      <c r="D2" s="1342"/>
      <c r="E2" s="1342"/>
      <c r="F2" s="1342"/>
      <c r="G2" s="1342"/>
      <c r="H2" s="1342"/>
      <c r="I2" s="1342"/>
      <c r="J2" s="1342"/>
      <c r="K2" s="1342"/>
      <c r="L2" s="1342"/>
      <c r="M2" s="1342"/>
      <c r="N2" s="1342"/>
    </row>
    <row r="3" spans="1:14" ht="12" customHeight="1">
      <c r="A3" s="206"/>
      <c r="B3" s="206"/>
      <c r="C3" s="206"/>
      <c r="D3" s="289"/>
      <c r="E3" s="289"/>
      <c r="F3" s="289"/>
      <c r="G3" s="289"/>
      <c r="H3" s="289"/>
      <c r="I3" s="289"/>
      <c r="J3" s="289"/>
      <c r="K3" s="289"/>
      <c r="L3" s="289"/>
      <c r="M3" s="289"/>
      <c r="N3" s="198" t="s">
        <v>452</v>
      </c>
    </row>
    <row r="4" spans="1:14" s="177" customFormat="1" ht="12.75" customHeight="1">
      <c r="A4" s="1186" t="s">
        <v>736</v>
      </c>
      <c r="B4" s="1187"/>
      <c r="C4" s="1187"/>
      <c r="D4" s="1184"/>
      <c r="E4" s="1193" t="s">
        <v>304</v>
      </c>
      <c r="F4" s="1191"/>
      <c r="G4" s="1191"/>
      <c r="H4" s="1191"/>
      <c r="I4" s="1191"/>
      <c r="J4" s="1191"/>
      <c r="K4" s="1191"/>
      <c r="L4" s="1191"/>
      <c r="M4" s="1191"/>
      <c r="N4" s="1192"/>
    </row>
    <row r="5" spans="1:14" ht="12.75" customHeight="1">
      <c r="A5" s="1188"/>
      <c r="B5" s="1183"/>
      <c r="C5" s="1183"/>
      <c r="D5" s="1200"/>
      <c r="E5" s="1193" t="str">
        <f>District!B14</f>
        <v>2009-10</v>
      </c>
      <c r="F5" s="1192"/>
      <c r="G5" s="1193" t="str">
        <f>District!D14</f>
        <v>2010-11</v>
      </c>
      <c r="H5" s="1192"/>
      <c r="I5" s="1193" t="str">
        <f>District!F14</f>
        <v>2011-12</v>
      </c>
      <c r="J5" s="1192"/>
      <c r="K5" s="1193" t="str">
        <f>District!H14</f>
        <v>2012-13</v>
      </c>
      <c r="L5" s="1192"/>
      <c r="M5" s="1193" t="str">
        <f>District!J14</f>
        <v>2013-14</v>
      </c>
      <c r="N5" s="1192"/>
    </row>
    <row r="6" spans="1:14" ht="12.75" customHeight="1">
      <c r="A6" s="1242"/>
      <c r="B6" s="1218"/>
      <c r="C6" s="1218"/>
      <c r="D6" s="1185"/>
      <c r="E6" s="212" t="s">
        <v>531</v>
      </c>
      <c r="F6" s="231" t="s">
        <v>532</v>
      </c>
      <c r="G6" s="212" t="s">
        <v>531</v>
      </c>
      <c r="H6" s="232" t="s">
        <v>532</v>
      </c>
      <c r="I6" s="212" t="s">
        <v>531</v>
      </c>
      <c r="J6" s="232" t="s">
        <v>532</v>
      </c>
      <c r="K6" s="212" t="s">
        <v>531</v>
      </c>
      <c r="L6" s="232" t="s">
        <v>532</v>
      </c>
      <c r="M6" s="212" t="s">
        <v>531</v>
      </c>
      <c r="N6" s="212" t="s">
        <v>532</v>
      </c>
    </row>
    <row r="7" spans="1:14" ht="12.75" customHeight="1">
      <c r="A7" s="1201" t="s">
        <v>418</v>
      </c>
      <c r="B7" s="1202"/>
      <c r="C7" s="1202"/>
      <c r="D7" s="1257"/>
      <c r="E7" s="213" t="s">
        <v>419</v>
      </c>
      <c r="F7" s="214" t="s">
        <v>420</v>
      </c>
      <c r="G7" s="213" t="s">
        <v>421</v>
      </c>
      <c r="H7" s="213" t="s">
        <v>422</v>
      </c>
      <c r="I7" s="213" t="s">
        <v>423</v>
      </c>
      <c r="J7" s="215" t="s">
        <v>424</v>
      </c>
      <c r="K7" s="215" t="s">
        <v>440</v>
      </c>
      <c r="L7" s="215" t="s">
        <v>441</v>
      </c>
      <c r="M7" s="213" t="s">
        <v>442</v>
      </c>
      <c r="N7" s="216" t="s">
        <v>443</v>
      </c>
    </row>
    <row r="8" spans="1:14" ht="12.75" customHeight="1">
      <c r="A8" s="446" t="s">
        <v>942</v>
      </c>
      <c r="B8" s="1322" t="s">
        <v>1497</v>
      </c>
      <c r="C8" s="1323"/>
      <c r="D8" s="1324"/>
      <c r="E8" s="34">
        <f t="shared" ref="E8:J8" si="0">SUM(E9,E14,E17)</f>
        <v>1266</v>
      </c>
      <c r="F8" s="34">
        <f t="shared" si="0"/>
        <v>1008</v>
      </c>
      <c r="G8" s="34">
        <f t="shared" si="0"/>
        <v>1766</v>
      </c>
      <c r="H8" s="34">
        <f t="shared" si="0"/>
        <v>851</v>
      </c>
      <c r="I8" s="34">
        <f t="shared" si="0"/>
        <v>1686</v>
      </c>
      <c r="J8" s="34">
        <f t="shared" si="0"/>
        <v>918</v>
      </c>
      <c r="K8" s="34">
        <f>SUM(K9,K14,K17)</f>
        <v>1320</v>
      </c>
      <c r="L8" s="34">
        <f>SUM(L9,L14,L17)</f>
        <v>863</v>
      </c>
      <c r="M8" s="34">
        <v>1261</v>
      </c>
      <c r="N8" s="34">
        <v>805</v>
      </c>
    </row>
    <row r="9" spans="1:14" ht="12.75" customHeight="1">
      <c r="A9" s="406"/>
      <c r="B9" s="76" t="s">
        <v>644</v>
      </c>
      <c r="C9" s="87" t="s">
        <v>657</v>
      </c>
      <c r="D9" s="482"/>
      <c r="E9" s="34">
        <f t="shared" ref="E9:J9" si="1">SUM(E10:E13)</f>
        <v>552</v>
      </c>
      <c r="F9" s="34">
        <f t="shared" si="1"/>
        <v>17</v>
      </c>
      <c r="G9" s="34">
        <f t="shared" si="1"/>
        <v>556</v>
      </c>
      <c r="H9" s="34">
        <f t="shared" si="1"/>
        <v>40</v>
      </c>
      <c r="I9" s="34">
        <f t="shared" si="1"/>
        <v>578</v>
      </c>
      <c r="J9" s="34">
        <f t="shared" si="1"/>
        <v>41</v>
      </c>
      <c r="K9" s="34">
        <f>SUM(K10:K13)</f>
        <v>485</v>
      </c>
      <c r="L9" s="34">
        <f>SUM(L10:L13)</f>
        <v>23</v>
      </c>
      <c r="M9" s="34">
        <v>510</v>
      </c>
      <c r="N9" s="34">
        <v>15</v>
      </c>
    </row>
    <row r="10" spans="1:14" ht="12.75" customHeight="1">
      <c r="A10" s="406"/>
      <c r="B10" s="406"/>
      <c r="C10" s="306"/>
      <c r="D10" s="197" t="s">
        <v>663</v>
      </c>
      <c r="E10" s="432">
        <v>50</v>
      </c>
      <c r="F10" s="417" t="s">
        <v>1127</v>
      </c>
      <c r="G10" s="433">
        <v>30</v>
      </c>
      <c r="H10" s="183" t="s">
        <v>1127</v>
      </c>
      <c r="I10" s="433">
        <v>40</v>
      </c>
      <c r="J10" s="183" t="s">
        <v>1127</v>
      </c>
      <c r="K10" s="433">
        <v>40</v>
      </c>
      <c r="L10" s="183" t="s">
        <v>1127</v>
      </c>
      <c r="M10" s="433">
        <v>30</v>
      </c>
      <c r="N10" s="183" t="s">
        <v>1127</v>
      </c>
    </row>
    <row r="11" spans="1:14" ht="12.75" customHeight="1">
      <c r="A11" s="406"/>
      <c r="B11" s="406"/>
      <c r="C11" s="306"/>
      <c r="D11" s="197" t="s">
        <v>1169</v>
      </c>
      <c r="E11" s="432" t="s">
        <v>1127</v>
      </c>
      <c r="F11" s="184" t="s">
        <v>1127</v>
      </c>
      <c r="G11" s="433" t="s">
        <v>1127</v>
      </c>
      <c r="H11" s="183" t="s">
        <v>1127</v>
      </c>
      <c r="I11" s="433" t="s">
        <v>1127</v>
      </c>
      <c r="J11" s="183" t="s">
        <v>1127</v>
      </c>
      <c r="K11" s="433" t="s">
        <v>1127</v>
      </c>
      <c r="L11" s="183" t="s">
        <v>1127</v>
      </c>
      <c r="M11" s="433" t="s">
        <v>1127</v>
      </c>
      <c r="N11" s="183" t="s">
        <v>1127</v>
      </c>
    </row>
    <row r="12" spans="1:14" ht="12.75" customHeight="1">
      <c r="A12" s="406"/>
      <c r="B12" s="406"/>
      <c r="C12" s="306"/>
      <c r="D12" s="197" t="s">
        <v>664</v>
      </c>
      <c r="E12" s="432">
        <v>236</v>
      </c>
      <c r="F12" s="184">
        <v>3</v>
      </c>
      <c r="G12" s="433">
        <v>308</v>
      </c>
      <c r="H12" s="183">
        <v>33</v>
      </c>
      <c r="I12" s="433">
        <v>308</v>
      </c>
      <c r="J12" s="183">
        <v>33</v>
      </c>
      <c r="K12" s="433">
        <v>445</v>
      </c>
      <c r="L12" s="183">
        <v>23</v>
      </c>
      <c r="M12" s="433">
        <v>480</v>
      </c>
      <c r="N12" s="183">
        <v>15</v>
      </c>
    </row>
    <row r="13" spans="1:14" ht="12.75" customHeight="1">
      <c r="A13" s="406"/>
      <c r="B13" s="406"/>
      <c r="C13" s="306"/>
      <c r="D13" s="197" t="s">
        <v>1616</v>
      </c>
      <c r="E13" s="183">
        <v>266</v>
      </c>
      <c r="F13" s="184">
        <v>14</v>
      </c>
      <c r="G13" s="302">
        <v>218</v>
      </c>
      <c r="H13" s="183">
        <v>7</v>
      </c>
      <c r="I13" s="302">
        <v>230</v>
      </c>
      <c r="J13" s="183">
        <v>8</v>
      </c>
      <c r="K13" s="302" t="s">
        <v>1127</v>
      </c>
      <c r="L13" s="183" t="s">
        <v>1127</v>
      </c>
      <c r="M13" s="302" t="s">
        <v>1127</v>
      </c>
      <c r="N13" s="183" t="s">
        <v>1127</v>
      </c>
    </row>
    <row r="14" spans="1:14" ht="12.75" customHeight="1">
      <c r="A14" s="406"/>
      <c r="B14" s="76" t="s">
        <v>642</v>
      </c>
      <c r="C14" s="87" t="s">
        <v>665</v>
      </c>
      <c r="D14" s="86"/>
      <c r="E14" s="34">
        <f>IF(SUM(E15:E16)=0,"-",SUM(E15:E16))</f>
        <v>168</v>
      </c>
      <c r="F14" s="28">
        <f>SUM(F15:F16)</f>
        <v>418</v>
      </c>
      <c r="G14" s="34">
        <f>IF(SUM(G15:G16)=0,"-",SUM(G15:G16))</f>
        <v>266</v>
      </c>
      <c r="H14" s="28">
        <f>SUM(H15:H16)</f>
        <v>306</v>
      </c>
      <c r="I14" s="34">
        <f>IF(SUM(I15:I16)=0,"-",SUM(I15:I16))</f>
        <v>290</v>
      </c>
      <c r="J14" s="28">
        <f>SUM(J15:J16)</f>
        <v>389</v>
      </c>
      <c r="K14" s="34">
        <f>IF(SUM(K15:K16)=0,"-",SUM(K15:K16))</f>
        <v>268</v>
      </c>
      <c r="L14" s="28">
        <f>SUM(L15:L16)</f>
        <v>439</v>
      </c>
      <c r="M14" s="34">
        <f>IF(SUM(M15:M16)=0,"-",SUM(M15:M16))</f>
        <v>305</v>
      </c>
      <c r="N14" s="28">
        <f>SUM(N15:N16)</f>
        <v>474</v>
      </c>
    </row>
    <row r="15" spans="1:14" ht="25.5" customHeight="1">
      <c r="A15" s="406"/>
      <c r="B15" s="406"/>
      <c r="C15" s="306"/>
      <c r="D15" s="416" t="s">
        <v>666</v>
      </c>
      <c r="E15" s="371">
        <v>168</v>
      </c>
      <c r="F15" s="417">
        <v>62</v>
      </c>
      <c r="G15" s="435">
        <v>266</v>
      </c>
      <c r="H15" s="371">
        <v>81</v>
      </c>
      <c r="I15" s="435">
        <v>290</v>
      </c>
      <c r="J15" s="371">
        <v>153</v>
      </c>
      <c r="K15" s="435">
        <v>268</v>
      </c>
      <c r="L15" s="371">
        <v>211</v>
      </c>
      <c r="M15" s="435">
        <v>305</v>
      </c>
      <c r="N15" s="371">
        <v>271</v>
      </c>
    </row>
    <row r="16" spans="1:14" ht="12.75" customHeight="1">
      <c r="A16" s="406"/>
      <c r="B16" s="406"/>
      <c r="C16" s="306"/>
      <c r="D16" s="197" t="s">
        <v>667</v>
      </c>
      <c r="E16" s="371" t="s">
        <v>1127</v>
      </c>
      <c r="F16" s="184">
        <v>356</v>
      </c>
      <c r="G16" s="302" t="s">
        <v>1127</v>
      </c>
      <c r="H16" s="183">
        <v>225</v>
      </c>
      <c r="I16" s="302" t="s">
        <v>1127</v>
      </c>
      <c r="J16" s="183">
        <v>236</v>
      </c>
      <c r="K16" s="302" t="s">
        <v>1127</v>
      </c>
      <c r="L16" s="183">
        <v>228</v>
      </c>
      <c r="M16" s="302" t="s">
        <v>1127</v>
      </c>
      <c r="N16" s="183">
        <v>203</v>
      </c>
    </row>
    <row r="17" spans="1:14" ht="39" customHeight="1">
      <c r="A17" s="406"/>
      <c r="B17" s="818" t="s">
        <v>643</v>
      </c>
      <c r="C17" s="1316" t="s">
        <v>194</v>
      </c>
      <c r="D17" s="1317"/>
      <c r="E17" s="409">
        <v>546</v>
      </c>
      <c r="F17" s="28">
        <v>573</v>
      </c>
      <c r="G17" s="409">
        <v>944</v>
      </c>
      <c r="H17" s="34">
        <v>505</v>
      </c>
      <c r="I17" s="409">
        <v>818</v>
      </c>
      <c r="J17" s="34">
        <v>488</v>
      </c>
      <c r="K17" s="409">
        <v>567</v>
      </c>
      <c r="L17" s="34">
        <v>401</v>
      </c>
      <c r="M17" s="409">
        <v>446</v>
      </c>
      <c r="N17" s="34">
        <v>316</v>
      </c>
    </row>
    <row r="18" spans="1:14" ht="12.75" customHeight="1">
      <c r="A18" s="446" t="s">
        <v>943</v>
      </c>
      <c r="B18" s="1250" t="s">
        <v>1498</v>
      </c>
      <c r="C18" s="1251"/>
      <c r="D18" s="1252"/>
      <c r="E18" s="34">
        <f t="shared" ref="E18:J18" si="2">SUM(E19,E26,E29)</f>
        <v>3460</v>
      </c>
      <c r="F18" s="28">
        <f t="shared" si="2"/>
        <v>970</v>
      </c>
      <c r="G18" s="28">
        <f t="shared" si="2"/>
        <v>3854</v>
      </c>
      <c r="H18" s="28">
        <f t="shared" si="2"/>
        <v>966</v>
      </c>
      <c r="I18" s="28">
        <f t="shared" si="2"/>
        <v>4314</v>
      </c>
      <c r="J18" s="28">
        <f t="shared" si="2"/>
        <v>1058</v>
      </c>
      <c r="K18" s="28">
        <f>SUM(K19,K26,K29)</f>
        <v>4460</v>
      </c>
      <c r="L18" s="28">
        <f>SUM(L19,L26,L29)</f>
        <v>1004</v>
      </c>
      <c r="M18" s="28">
        <f>SUM(M19,M26,M29)</f>
        <v>4555</v>
      </c>
      <c r="N18" s="28">
        <f>SUM(N19,N26,N29)</f>
        <v>1116</v>
      </c>
    </row>
    <row r="19" spans="1:14" ht="12.75" customHeight="1">
      <c r="A19" s="406"/>
      <c r="B19" s="76" t="s">
        <v>644</v>
      </c>
      <c r="C19" s="87" t="s">
        <v>668</v>
      </c>
      <c r="D19" s="86"/>
      <c r="E19" s="34">
        <f t="shared" ref="E19:J19" si="3">SUM(E20:E25)</f>
        <v>3034</v>
      </c>
      <c r="F19" s="28">
        <f t="shared" si="3"/>
        <v>712</v>
      </c>
      <c r="G19" s="28">
        <f t="shared" si="3"/>
        <v>3447</v>
      </c>
      <c r="H19" s="28">
        <f t="shared" si="3"/>
        <v>696</v>
      </c>
      <c r="I19" s="28">
        <f t="shared" si="3"/>
        <v>3838</v>
      </c>
      <c r="J19" s="28">
        <f t="shared" si="3"/>
        <v>736</v>
      </c>
      <c r="K19" s="28">
        <f>SUM(K20:K25)</f>
        <v>3885</v>
      </c>
      <c r="L19" s="28">
        <f>SUM(L20:L25)</f>
        <v>625</v>
      </c>
      <c r="M19" s="28">
        <f>SUM(M20:M25)</f>
        <v>3889</v>
      </c>
      <c r="N19" s="28">
        <f>SUM(N20:N25)</f>
        <v>718</v>
      </c>
    </row>
    <row r="20" spans="1:14" ht="25.5">
      <c r="A20" s="406"/>
      <c r="B20" s="406"/>
      <c r="C20" s="306"/>
      <c r="D20" s="416" t="s">
        <v>678</v>
      </c>
      <c r="E20" s="432">
        <v>343</v>
      </c>
      <c r="F20" s="184">
        <v>157</v>
      </c>
      <c r="G20" s="433">
        <v>329</v>
      </c>
      <c r="H20" s="183">
        <v>171</v>
      </c>
      <c r="I20" s="433">
        <v>321</v>
      </c>
      <c r="J20" s="183">
        <v>178</v>
      </c>
      <c r="K20" s="433">
        <v>320</v>
      </c>
      <c r="L20" s="183">
        <v>178</v>
      </c>
      <c r="M20" s="433">
        <v>288</v>
      </c>
      <c r="N20" s="183">
        <v>161</v>
      </c>
    </row>
    <row r="21" spans="1:14" ht="12.75" customHeight="1">
      <c r="A21" s="406"/>
      <c r="B21" s="406"/>
      <c r="C21" s="306"/>
      <c r="D21" s="197" t="s">
        <v>695</v>
      </c>
      <c r="E21" s="432">
        <v>1994</v>
      </c>
      <c r="F21" s="184">
        <v>426</v>
      </c>
      <c r="G21" s="433">
        <v>1969</v>
      </c>
      <c r="H21" s="183">
        <v>375</v>
      </c>
      <c r="I21" s="433">
        <v>1866</v>
      </c>
      <c r="J21" s="183">
        <v>378</v>
      </c>
      <c r="K21" s="433">
        <v>1644</v>
      </c>
      <c r="L21" s="183">
        <v>279</v>
      </c>
      <c r="M21" s="433">
        <v>1600</v>
      </c>
      <c r="N21" s="183">
        <v>243</v>
      </c>
    </row>
    <row r="22" spans="1:14" ht="12.75" customHeight="1">
      <c r="A22" s="406"/>
      <c r="B22" s="406"/>
      <c r="C22" s="306"/>
      <c r="D22" s="197" t="s">
        <v>697</v>
      </c>
      <c r="E22" s="436" t="s">
        <v>1127</v>
      </c>
      <c r="F22" s="417" t="s">
        <v>1127</v>
      </c>
      <c r="G22" s="433" t="s">
        <v>1127</v>
      </c>
      <c r="H22" s="183" t="s">
        <v>1127</v>
      </c>
      <c r="I22" s="433" t="s">
        <v>1127</v>
      </c>
      <c r="J22" s="183" t="s">
        <v>1127</v>
      </c>
      <c r="K22" s="433" t="s">
        <v>1127</v>
      </c>
      <c r="L22" s="183" t="s">
        <v>1127</v>
      </c>
      <c r="M22" s="433" t="s">
        <v>1127</v>
      </c>
      <c r="N22" s="183" t="s">
        <v>1127</v>
      </c>
    </row>
    <row r="23" spans="1:14" ht="12.75" customHeight="1">
      <c r="A23" s="406"/>
      <c r="B23" s="406"/>
      <c r="C23" s="306"/>
      <c r="D23" s="197" t="s">
        <v>698</v>
      </c>
      <c r="E23" s="432">
        <v>658</v>
      </c>
      <c r="F23" s="184">
        <v>124</v>
      </c>
      <c r="G23" s="433">
        <v>1088</v>
      </c>
      <c r="H23" s="183">
        <v>144</v>
      </c>
      <c r="I23" s="433">
        <v>1563</v>
      </c>
      <c r="J23" s="183">
        <v>160</v>
      </c>
      <c r="K23" s="433">
        <v>1841</v>
      </c>
      <c r="L23" s="183">
        <v>148</v>
      </c>
      <c r="M23" s="433">
        <v>1918</v>
      </c>
      <c r="N23" s="183">
        <v>297</v>
      </c>
    </row>
    <row r="24" spans="1:14" ht="12.75" customHeight="1">
      <c r="A24" s="406"/>
      <c r="B24" s="406"/>
      <c r="C24" s="306"/>
      <c r="D24" s="197" t="s">
        <v>700</v>
      </c>
      <c r="E24" s="432">
        <v>39</v>
      </c>
      <c r="F24" s="184">
        <v>5</v>
      </c>
      <c r="G24" s="433">
        <v>61</v>
      </c>
      <c r="H24" s="183">
        <v>6</v>
      </c>
      <c r="I24" s="433">
        <v>88</v>
      </c>
      <c r="J24" s="183">
        <v>20</v>
      </c>
      <c r="K24" s="433">
        <v>80</v>
      </c>
      <c r="L24" s="183">
        <v>20</v>
      </c>
      <c r="M24" s="433">
        <v>83</v>
      </c>
      <c r="N24" s="183">
        <v>17</v>
      </c>
    </row>
    <row r="25" spans="1:14" ht="39" customHeight="1">
      <c r="A25" s="406"/>
      <c r="B25" s="406"/>
      <c r="C25" s="306"/>
      <c r="D25" s="416" t="s">
        <v>41</v>
      </c>
      <c r="E25" s="436" t="s">
        <v>1127</v>
      </c>
      <c r="F25" s="417" t="s">
        <v>1127</v>
      </c>
      <c r="G25" s="433" t="s">
        <v>1127</v>
      </c>
      <c r="H25" s="183" t="s">
        <v>1127</v>
      </c>
      <c r="I25" s="433" t="s">
        <v>1127</v>
      </c>
      <c r="J25" s="183" t="s">
        <v>1127</v>
      </c>
      <c r="K25" s="433" t="s">
        <v>1127</v>
      </c>
      <c r="L25" s="183" t="s">
        <v>1127</v>
      </c>
      <c r="M25" s="433" t="s">
        <v>1127</v>
      </c>
      <c r="N25" s="183" t="s">
        <v>1127</v>
      </c>
    </row>
    <row r="26" spans="1:14" ht="12.75" customHeight="1">
      <c r="A26" s="406"/>
      <c r="B26" s="76" t="s">
        <v>642</v>
      </c>
      <c r="C26" s="87" t="s">
        <v>867</v>
      </c>
      <c r="D26" s="482"/>
      <c r="E26" s="34">
        <f t="shared" ref="E26:J26" si="4">IF(SUM(E27:E28)=0,"-",SUM(E27:E28))</f>
        <v>402</v>
      </c>
      <c r="F26" s="34">
        <f t="shared" si="4"/>
        <v>198</v>
      </c>
      <c r="G26" s="34">
        <f t="shared" si="4"/>
        <v>378</v>
      </c>
      <c r="H26" s="34">
        <f t="shared" si="4"/>
        <v>218</v>
      </c>
      <c r="I26" s="34">
        <f t="shared" si="4"/>
        <v>422</v>
      </c>
      <c r="J26" s="34">
        <f t="shared" si="4"/>
        <v>269</v>
      </c>
      <c r="K26" s="34">
        <f>IF(SUM(K27:K28)=0,"-",SUM(K27:K28))</f>
        <v>533</v>
      </c>
      <c r="L26" s="34">
        <f>IF(SUM(L27:L28)=0,"-",SUM(L27:L28))</f>
        <v>324</v>
      </c>
      <c r="M26" s="34">
        <f>IF(SUM(M27:M28)=0,"-",SUM(M27:M28))</f>
        <v>631</v>
      </c>
      <c r="N26" s="34">
        <f>IF(SUM(N27:N28)=0,"-",SUM(N27:N28))</f>
        <v>338</v>
      </c>
    </row>
    <row r="27" spans="1:14" ht="12.75" customHeight="1">
      <c r="A27" s="406"/>
      <c r="B27" s="406"/>
      <c r="C27" s="306"/>
      <c r="D27" s="197" t="s">
        <v>870</v>
      </c>
      <c r="E27" s="83">
        <v>402</v>
      </c>
      <c r="F27" s="417">
        <v>198</v>
      </c>
      <c r="G27" s="83">
        <v>378</v>
      </c>
      <c r="H27" s="417">
        <v>218</v>
      </c>
      <c r="I27" s="83">
        <v>422</v>
      </c>
      <c r="J27" s="417">
        <v>269</v>
      </c>
      <c r="K27" s="83">
        <v>533</v>
      </c>
      <c r="L27" s="417">
        <v>324</v>
      </c>
      <c r="M27" s="83">
        <v>631</v>
      </c>
      <c r="N27" s="417">
        <v>338</v>
      </c>
    </row>
    <row r="28" spans="1:14" ht="12.75" customHeight="1">
      <c r="A28" s="406"/>
      <c r="B28" s="406"/>
      <c r="C28" s="306"/>
      <c r="D28" s="197" t="s">
        <v>871</v>
      </c>
      <c r="E28" s="436" t="s">
        <v>1127</v>
      </c>
      <c r="F28" s="417" t="s">
        <v>1127</v>
      </c>
      <c r="G28" s="433" t="s">
        <v>1127</v>
      </c>
      <c r="H28" s="183" t="s">
        <v>1127</v>
      </c>
      <c r="I28" s="433" t="s">
        <v>1127</v>
      </c>
      <c r="J28" s="183" t="s">
        <v>1127</v>
      </c>
      <c r="K28" s="433" t="s">
        <v>1127</v>
      </c>
      <c r="L28" s="183" t="s">
        <v>1127</v>
      </c>
      <c r="M28" s="433" t="s">
        <v>1127</v>
      </c>
      <c r="N28" s="183" t="s">
        <v>1127</v>
      </c>
    </row>
    <row r="29" spans="1:14" ht="12.75" customHeight="1">
      <c r="A29" s="406"/>
      <c r="B29" s="76" t="s">
        <v>643</v>
      </c>
      <c r="C29" s="87" t="s">
        <v>485</v>
      </c>
      <c r="D29" s="482"/>
      <c r="E29" s="28">
        <f t="shared" ref="E29:N29" si="5">SUM(E30:E34)</f>
        <v>24</v>
      </c>
      <c r="F29" s="28">
        <f t="shared" si="5"/>
        <v>60</v>
      </c>
      <c r="G29" s="28">
        <f t="shared" si="5"/>
        <v>29</v>
      </c>
      <c r="H29" s="28">
        <f t="shared" si="5"/>
        <v>52</v>
      </c>
      <c r="I29" s="28">
        <f t="shared" si="5"/>
        <v>54</v>
      </c>
      <c r="J29" s="28">
        <f t="shared" si="5"/>
        <v>53</v>
      </c>
      <c r="K29" s="28">
        <f t="shared" si="5"/>
        <v>42</v>
      </c>
      <c r="L29" s="28">
        <f t="shared" si="5"/>
        <v>55</v>
      </c>
      <c r="M29" s="28">
        <f t="shared" si="5"/>
        <v>35</v>
      </c>
      <c r="N29" s="28">
        <f t="shared" si="5"/>
        <v>60</v>
      </c>
    </row>
    <row r="30" spans="1:14" ht="12.75" customHeight="1">
      <c r="A30" s="406"/>
      <c r="B30" s="406"/>
      <c r="C30" s="306"/>
      <c r="D30" s="197" t="s">
        <v>872</v>
      </c>
      <c r="E30" s="436" t="s">
        <v>1127</v>
      </c>
      <c r="F30" s="417" t="s">
        <v>1127</v>
      </c>
      <c r="G30" s="437" t="s">
        <v>1127</v>
      </c>
      <c r="H30" s="371" t="s">
        <v>1127</v>
      </c>
      <c r="I30" s="437" t="s">
        <v>1127</v>
      </c>
      <c r="J30" s="371" t="s">
        <v>1127</v>
      </c>
      <c r="K30" s="433" t="s">
        <v>1127</v>
      </c>
      <c r="L30" s="183" t="s">
        <v>1127</v>
      </c>
      <c r="M30" s="433"/>
      <c r="N30" s="183"/>
    </row>
    <row r="31" spans="1:14" ht="12.75" customHeight="1">
      <c r="A31" s="406"/>
      <c r="B31" s="406"/>
      <c r="C31" s="306"/>
      <c r="D31" s="197" t="s">
        <v>874</v>
      </c>
      <c r="E31" s="432">
        <v>24</v>
      </c>
      <c r="F31" s="184">
        <v>60</v>
      </c>
      <c r="G31" s="433">
        <v>29</v>
      </c>
      <c r="H31" s="183">
        <v>52</v>
      </c>
      <c r="I31" s="433">
        <v>32</v>
      </c>
      <c r="J31" s="183">
        <v>53</v>
      </c>
      <c r="K31" s="433">
        <v>42</v>
      </c>
      <c r="L31" s="183">
        <v>55</v>
      </c>
      <c r="M31" s="433">
        <v>35</v>
      </c>
      <c r="N31" s="183">
        <v>60</v>
      </c>
    </row>
    <row r="32" spans="1:14" ht="12.75" customHeight="1">
      <c r="A32" s="406"/>
      <c r="B32" s="406"/>
      <c r="C32" s="306"/>
      <c r="D32" s="197" t="s">
        <v>891</v>
      </c>
      <c r="E32" s="280" t="s">
        <v>1127</v>
      </c>
      <c r="F32" s="417" t="s">
        <v>1127</v>
      </c>
      <c r="G32" s="328" t="s">
        <v>1127</v>
      </c>
      <c r="H32" s="371" t="s">
        <v>1127</v>
      </c>
      <c r="I32" s="328" t="s">
        <v>1127</v>
      </c>
      <c r="J32" s="371" t="s">
        <v>1127</v>
      </c>
      <c r="K32" s="328" t="s">
        <v>1127</v>
      </c>
      <c r="L32" s="183" t="s">
        <v>1127</v>
      </c>
      <c r="M32" s="328" t="s">
        <v>1127</v>
      </c>
      <c r="N32" s="183" t="s">
        <v>1127</v>
      </c>
    </row>
    <row r="33" spans="1:14" ht="12.75" customHeight="1">
      <c r="A33" s="406"/>
      <c r="B33" s="406"/>
      <c r="C33" s="306"/>
      <c r="D33" s="197" t="s">
        <v>875</v>
      </c>
      <c r="E33" s="280" t="s">
        <v>1127</v>
      </c>
      <c r="F33" s="417" t="s">
        <v>1127</v>
      </c>
      <c r="G33" s="328" t="s">
        <v>1127</v>
      </c>
      <c r="H33" s="371" t="s">
        <v>1127</v>
      </c>
      <c r="I33" s="328" t="s">
        <v>1127</v>
      </c>
      <c r="J33" s="371" t="s">
        <v>1127</v>
      </c>
      <c r="K33" s="328" t="s">
        <v>1127</v>
      </c>
      <c r="L33" s="183" t="s">
        <v>1127</v>
      </c>
      <c r="M33" s="328" t="s">
        <v>1127</v>
      </c>
      <c r="N33" s="183" t="s">
        <v>1127</v>
      </c>
    </row>
    <row r="34" spans="1:14" ht="26.25" customHeight="1">
      <c r="A34" s="406"/>
      <c r="B34" s="406"/>
      <c r="C34" s="306"/>
      <c r="D34" s="416" t="s">
        <v>890</v>
      </c>
      <c r="E34" s="34" t="s">
        <v>906</v>
      </c>
      <c r="F34" s="11" t="s">
        <v>906</v>
      </c>
      <c r="G34" s="34" t="s">
        <v>906</v>
      </c>
      <c r="H34" s="34" t="s">
        <v>906</v>
      </c>
      <c r="I34" s="33">
        <v>22</v>
      </c>
      <c r="J34" s="34" t="s">
        <v>1127</v>
      </c>
      <c r="K34" s="33" t="s">
        <v>1127</v>
      </c>
      <c r="L34" s="34" t="s">
        <v>1127</v>
      </c>
      <c r="M34" s="33" t="s">
        <v>1127</v>
      </c>
      <c r="N34" s="34" t="s">
        <v>1127</v>
      </c>
    </row>
    <row r="35" spans="1:14" ht="12.75" customHeight="1">
      <c r="A35" s="448" t="s">
        <v>944</v>
      </c>
      <c r="B35" s="1325" t="s">
        <v>1499</v>
      </c>
      <c r="C35" s="1326"/>
      <c r="D35" s="1327"/>
      <c r="E35" s="371" t="s">
        <v>1127</v>
      </c>
      <c r="F35" s="417" t="s">
        <v>1127</v>
      </c>
      <c r="G35" s="439" t="s">
        <v>1127</v>
      </c>
      <c r="H35" s="375" t="s">
        <v>1127</v>
      </c>
      <c r="I35" s="439" t="s">
        <v>1127</v>
      </c>
      <c r="J35" s="375" t="s">
        <v>1127</v>
      </c>
      <c r="K35" s="247" t="s">
        <v>1127</v>
      </c>
      <c r="L35" s="248" t="s">
        <v>1127</v>
      </c>
      <c r="M35" s="247" t="s">
        <v>1127</v>
      </c>
      <c r="N35" s="248" t="s">
        <v>1127</v>
      </c>
    </row>
    <row r="36" spans="1:14" ht="12.75" customHeight="1">
      <c r="A36" s="487"/>
      <c r="B36" s="1306" t="s">
        <v>439</v>
      </c>
      <c r="C36" s="1306"/>
      <c r="D36" s="1199"/>
      <c r="E36" s="179">
        <f>SUM(E8,E18,E34)</f>
        <v>4726</v>
      </c>
      <c r="F36" s="180">
        <f>SUM(F8,F18,F35)</f>
        <v>1978</v>
      </c>
      <c r="G36" s="179">
        <f>SUM(G8,G18,G34)</f>
        <v>5620</v>
      </c>
      <c r="H36" s="180">
        <f>SUM(H8,H18,H35)</f>
        <v>1817</v>
      </c>
      <c r="I36" s="180">
        <f>SUM(I8,I18,I34)</f>
        <v>6022</v>
      </c>
      <c r="J36" s="180">
        <f>SUM(J8,J18,J35)</f>
        <v>1976</v>
      </c>
      <c r="K36" s="180">
        <f>SUM(K8,K18,K35)</f>
        <v>5780</v>
      </c>
      <c r="L36" s="180">
        <f>SUM(L8,L18,L35)</f>
        <v>1867</v>
      </c>
      <c r="M36" s="180">
        <f>SUM(M8,M18,M35)</f>
        <v>5816</v>
      </c>
      <c r="N36" s="180">
        <f>SUM(N8,N18,N35)</f>
        <v>1921</v>
      </c>
    </row>
    <row r="37" spans="1:14">
      <c r="A37" s="268"/>
      <c r="B37" s="268"/>
      <c r="C37" s="268"/>
      <c r="D37" s="268"/>
      <c r="E37" s="268"/>
      <c r="F37" s="268"/>
      <c r="G37" s="268"/>
      <c r="H37" s="268"/>
      <c r="I37" s="268"/>
      <c r="J37" s="405"/>
      <c r="L37" s="441"/>
      <c r="M37" s="441"/>
      <c r="N37" s="733" t="str">
        <f>CONCATENATE("Source : Heads of all Technical and Professional Institutions, ",District!A1)</f>
        <v>Source : Heads of all Technical and Professional Institutions, Bankura</v>
      </c>
    </row>
    <row r="38" spans="1:14">
      <c r="A38" s="268"/>
      <c r="B38" s="268"/>
      <c r="C38" s="268"/>
      <c r="D38" s="268"/>
      <c r="E38" s="268"/>
      <c r="F38" s="268"/>
      <c r="G38" s="268"/>
      <c r="H38" s="268"/>
      <c r="I38" s="268"/>
      <c r="J38" s="21"/>
      <c r="K38" s="442"/>
      <c r="L38" s="442"/>
      <c r="M38" s="442"/>
      <c r="N38" s="442"/>
    </row>
    <row r="39" spans="1:14">
      <c r="A39" s="268"/>
      <c r="B39" s="268"/>
      <c r="C39" s="268"/>
      <c r="D39" s="268"/>
      <c r="E39" s="268"/>
      <c r="F39" s="268"/>
      <c r="G39" s="268"/>
      <c r="H39" s="268"/>
      <c r="I39" s="268"/>
      <c r="J39" s="268"/>
      <c r="K39" s="268"/>
      <c r="L39" s="268"/>
      <c r="M39" s="268"/>
      <c r="N39" s="268"/>
    </row>
    <row r="40" spans="1:14">
      <c r="A40" s="268"/>
      <c r="B40" s="268"/>
      <c r="C40" s="268"/>
      <c r="D40" s="268"/>
      <c r="E40" s="268"/>
      <c r="F40" s="268"/>
      <c r="G40" s="268"/>
      <c r="H40" s="268"/>
      <c r="I40" s="268"/>
      <c r="J40" s="268"/>
      <c r="K40" s="268"/>
      <c r="L40" s="268"/>
      <c r="M40" s="268"/>
      <c r="N40" s="268"/>
    </row>
    <row r="41" spans="1:14">
      <c r="A41" s="268"/>
      <c r="B41" s="268"/>
      <c r="C41" s="268"/>
      <c r="D41" s="268"/>
      <c r="E41" s="268"/>
      <c r="F41" s="268"/>
      <c r="G41" s="268"/>
      <c r="H41" s="268"/>
      <c r="I41" s="268"/>
      <c r="J41" s="268"/>
      <c r="K41" s="268"/>
      <c r="L41" s="268"/>
      <c r="M41" s="268"/>
      <c r="N41" s="268"/>
    </row>
    <row r="42" spans="1:14">
      <c r="A42" s="268"/>
      <c r="B42" s="268"/>
      <c r="C42" s="268"/>
      <c r="D42" s="268"/>
      <c r="E42" s="268"/>
      <c r="F42" s="268"/>
      <c r="G42" s="268"/>
      <c r="H42" s="268"/>
      <c r="I42" s="268"/>
      <c r="J42" s="268"/>
      <c r="K42" s="268"/>
      <c r="L42" s="268"/>
      <c r="M42" s="268"/>
      <c r="N42" s="268"/>
    </row>
  </sheetData>
  <mergeCells count="15">
    <mergeCell ref="B36:D36"/>
    <mergeCell ref="B8:D8"/>
    <mergeCell ref="C17:D17"/>
    <mergeCell ref="B18:D18"/>
    <mergeCell ref="B35:D35"/>
    <mergeCell ref="A1:N1"/>
    <mergeCell ref="A2:N2"/>
    <mergeCell ref="A7:D7"/>
    <mergeCell ref="E5:F5"/>
    <mergeCell ref="G5:H5"/>
    <mergeCell ref="I5:J5"/>
    <mergeCell ref="K5:L5"/>
    <mergeCell ref="E4:N4"/>
    <mergeCell ref="A4:D6"/>
    <mergeCell ref="M5:N5"/>
  </mergeCells>
  <phoneticPr fontId="0" type="noConversion"/>
  <printOptions horizontalCentered="1"/>
  <pageMargins left="0.1" right="0.1" top="0.1" bottom="0.14000000000000001" header="0.5" footer="0.14000000000000001"/>
  <pageSetup paperSize="9" orientation="landscape" r:id="rId1"/>
  <headerFooter alignWithMargins="0"/>
</worksheet>
</file>

<file path=xl/worksheets/sheet32.xml><?xml version="1.0" encoding="utf-8"?>
<worksheet xmlns="http://schemas.openxmlformats.org/spreadsheetml/2006/main" xmlns:r="http://schemas.openxmlformats.org/officeDocument/2006/relationships">
  <sheetPr codeName="Sheet31"/>
  <dimension ref="A1:P33"/>
  <sheetViews>
    <sheetView topLeftCell="A4" workbookViewId="0">
      <selection activeCell="M30" sqref="M30"/>
    </sheetView>
  </sheetViews>
  <sheetFormatPr defaultRowHeight="12.75"/>
  <cols>
    <col min="1" max="1" width="3.140625" style="172" customWidth="1"/>
    <col min="2" max="3" width="9.140625" style="172"/>
    <col min="4" max="4" width="20.5703125" style="172" customWidth="1"/>
    <col min="5" max="14" width="8.7109375" style="172" customWidth="1"/>
    <col min="15" max="16384" width="9.140625" style="172"/>
  </cols>
  <sheetData>
    <row r="1" spans="1:14" ht="13.5" customHeight="1">
      <c r="A1" s="1181" t="s">
        <v>1582</v>
      </c>
      <c r="B1" s="1181"/>
      <c r="C1" s="1181"/>
      <c r="D1" s="1181"/>
      <c r="E1" s="1181"/>
      <c r="F1" s="1181"/>
      <c r="G1" s="1181"/>
      <c r="H1" s="1181"/>
      <c r="I1" s="1181"/>
      <c r="J1" s="1181"/>
      <c r="K1" s="1181"/>
      <c r="L1" s="1181"/>
      <c r="M1" s="1181"/>
      <c r="N1" s="1181"/>
    </row>
    <row r="2" spans="1:14" s="206" customFormat="1" ht="18" customHeight="1">
      <c r="A2" s="1226" t="str">
        <f>CONCATENATE("Students by sex in different type of Special and Non-formal Educational Institutions in the district of ",District!A1)</f>
        <v>Students by sex in different type of Special and Non-formal Educational Institutions in the district of Bankura</v>
      </c>
      <c r="B2" s="1226"/>
      <c r="C2" s="1226"/>
      <c r="D2" s="1226"/>
      <c r="E2" s="1226"/>
      <c r="F2" s="1226"/>
      <c r="G2" s="1226"/>
      <c r="H2" s="1226"/>
      <c r="I2" s="1226"/>
      <c r="J2" s="1226"/>
      <c r="K2" s="1226"/>
      <c r="L2" s="1226"/>
      <c r="M2" s="1226"/>
      <c r="N2" s="1226"/>
    </row>
    <row r="3" spans="1:14" ht="12.75" customHeight="1">
      <c r="A3" s="259"/>
      <c r="B3" s="259"/>
      <c r="C3" s="260"/>
      <c r="D3" s="260"/>
      <c r="E3" s="260"/>
      <c r="F3" s="260"/>
      <c r="G3" s="260"/>
      <c r="H3" s="260"/>
      <c r="I3" s="260"/>
      <c r="J3" s="260"/>
      <c r="K3" s="260"/>
      <c r="L3" s="259"/>
      <c r="M3" s="443"/>
      <c r="N3" s="114" t="s">
        <v>452</v>
      </c>
    </row>
    <row r="4" spans="1:14" s="177" customFormat="1" ht="15.95" customHeight="1">
      <c r="A4" s="1186" t="s">
        <v>736</v>
      </c>
      <c r="B4" s="1187"/>
      <c r="C4" s="1187"/>
      <c r="D4" s="1184"/>
      <c r="E4" s="1193" t="s">
        <v>304</v>
      </c>
      <c r="F4" s="1191"/>
      <c r="G4" s="1191"/>
      <c r="H4" s="1191"/>
      <c r="I4" s="1191"/>
      <c r="J4" s="1191"/>
      <c r="K4" s="1191"/>
      <c r="L4" s="1191"/>
      <c r="M4" s="1191"/>
      <c r="N4" s="1192"/>
    </row>
    <row r="5" spans="1:14" ht="15.95" customHeight="1">
      <c r="A5" s="1188"/>
      <c r="B5" s="1183"/>
      <c r="C5" s="1183"/>
      <c r="D5" s="1200"/>
      <c r="E5" s="1193" t="str">
        <f>District!B14</f>
        <v>2009-10</v>
      </c>
      <c r="F5" s="1192"/>
      <c r="G5" s="1193" t="str">
        <f>District!D14</f>
        <v>2010-11</v>
      </c>
      <c r="H5" s="1192"/>
      <c r="I5" s="1193" t="str">
        <f>District!F14</f>
        <v>2011-12</v>
      </c>
      <c r="J5" s="1192"/>
      <c r="K5" s="1193" t="str">
        <f>District!H14</f>
        <v>2012-13</v>
      </c>
      <c r="L5" s="1192"/>
      <c r="M5" s="1193" t="str">
        <f>District!J14</f>
        <v>2013-14</v>
      </c>
      <c r="N5" s="1192"/>
    </row>
    <row r="6" spans="1:14" ht="15.95" customHeight="1">
      <c r="A6" s="1242"/>
      <c r="B6" s="1218"/>
      <c r="C6" s="1218"/>
      <c r="D6" s="1185"/>
      <c r="E6" s="212" t="s">
        <v>531</v>
      </c>
      <c r="F6" s="212" t="s">
        <v>532</v>
      </c>
      <c r="G6" s="212" t="s">
        <v>531</v>
      </c>
      <c r="H6" s="212" t="s">
        <v>532</v>
      </c>
      <c r="I6" s="212" t="s">
        <v>531</v>
      </c>
      <c r="J6" s="212" t="s">
        <v>532</v>
      </c>
      <c r="K6" s="212" t="s">
        <v>531</v>
      </c>
      <c r="L6" s="212" t="s">
        <v>532</v>
      </c>
      <c r="M6" s="212" t="s">
        <v>531</v>
      </c>
      <c r="N6" s="231" t="s">
        <v>532</v>
      </c>
    </row>
    <row r="7" spans="1:14" ht="15.95" customHeight="1">
      <c r="A7" s="1201" t="s">
        <v>418</v>
      </c>
      <c r="B7" s="1202"/>
      <c r="C7" s="1202"/>
      <c r="D7" s="1257"/>
      <c r="E7" s="213" t="s">
        <v>419</v>
      </c>
      <c r="F7" s="213" t="s">
        <v>420</v>
      </c>
      <c r="G7" s="213" t="s">
        <v>421</v>
      </c>
      <c r="H7" s="213" t="s">
        <v>422</v>
      </c>
      <c r="I7" s="213" t="s">
        <v>423</v>
      </c>
      <c r="J7" s="213" t="s">
        <v>424</v>
      </c>
      <c r="K7" s="214" t="s">
        <v>440</v>
      </c>
      <c r="L7" s="213" t="s">
        <v>441</v>
      </c>
      <c r="M7" s="213" t="s">
        <v>442</v>
      </c>
      <c r="N7" s="214" t="s">
        <v>443</v>
      </c>
    </row>
    <row r="8" spans="1:14" ht="18" customHeight="1">
      <c r="A8" s="264" t="s">
        <v>1624</v>
      </c>
      <c r="B8" s="1360" t="s">
        <v>892</v>
      </c>
      <c r="C8" s="1360"/>
      <c r="D8" s="1361"/>
      <c r="E8" s="302">
        <v>11322</v>
      </c>
      <c r="F8" s="223">
        <v>11390</v>
      </c>
      <c r="G8" s="302">
        <v>11079</v>
      </c>
      <c r="H8" s="223">
        <v>11101</v>
      </c>
      <c r="I8" s="302">
        <v>10855</v>
      </c>
      <c r="J8" s="223">
        <v>10825</v>
      </c>
      <c r="K8" s="302">
        <v>10090</v>
      </c>
      <c r="L8" s="223">
        <v>10268</v>
      </c>
      <c r="M8" s="302">
        <v>9015</v>
      </c>
      <c r="N8" s="223">
        <v>9116</v>
      </c>
    </row>
    <row r="9" spans="1:14" ht="18" customHeight="1">
      <c r="A9" s="83">
        <v>2</v>
      </c>
      <c r="B9" s="1329" t="s">
        <v>857</v>
      </c>
      <c r="C9" s="1329"/>
      <c r="D9" s="1330"/>
      <c r="E9" s="302">
        <v>6170</v>
      </c>
      <c r="F9" s="183">
        <v>6313</v>
      </c>
      <c r="G9" s="302">
        <v>6485</v>
      </c>
      <c r="H9" s="183">
        <v>6621</v>
      </c>
      <c r="I9" s="302">
        <v>6515</v>
      </c>
      <c r="J9" s="183">
        <v>6679</v>
      </c>
      <c r="K9" s="302">
        <v>6686</v>
      </c>
      <c r="L9" s="183">
        <v>6594</v>
      </c>
      <c r="M9" s="302">
        <v>5590</v>
      </c>
      <c r="N9" s="183">
        <v>5788</v>
      </c>
    </row>
    <row r="10" spans="1:14" ht="18" customHeight="1">
      <c r="A10" s="83">
        <v>3</v>
      </c>
      <c r="B10" s="1329" t="s">
        <v>904</v>
      </c>
      <c r="C10" s="1329"/>
      <c r="D10" s="1330"/>
      <c r="E10" s="435" t="s">
        <v>1127</v>
      </c>
      <c r="F10" s="371" t="s">
        <v>1127</v>
      </c>
      <c r="G10" s="302" t="s">
        <v>1127</v>
      </c>
      <c r="H10" s="183" t="s">
        <v>1127</v>
      </c>
      <c r="I10" s="302" t="s">
        <v>1127</v>
      </c>
      <c r="J10" s="183" t="s">
        <v>1127</v>
      </c>
      <c r="K10" s="302" t="s">
        <v>1127</v>
      </c>
      <c r="L10" s="183" t="s">
        <v>1127</v>
      </c>
      <c r="M10" s="54" t="s">
        <v>1127</v>
      </c>
      <c r="N10" s="183" t="s">
        <v>1127</v>
      </c>
    </row>
    <row r="11" spans="1:14" ht="18" customHeight="1">
      <c r="A11" s="83">
        <v>4</v>
      </c>
      <c r="B11" s="1329" t="s">
        <v>858</v>
      </c>
      <c r="C11" s="1329"/>
      <c r="D11" s="1330"/>
      <c r="E11" s="302">
        <v>580</v>
      </c>
      <c r="F11" s="183">
        <v>476</v>
      </c>
      <c r="G11" s="302">
        <v>355</v>
      </c>
      <c r="H11" s="183">
        <v>288</v>
      </c>
      <c r="I11" s="302">
        <v>448</v>
      </c>
      <c r="J11" s="183">
        <v>310</v>
      </c>
      <c r="K11" s="302">
        <v>711</v>
      </c>
      <c r="L11" s="183">
        <v>465</v>
      </c>
      <c r="M11" s="302">
        <v>1323</v>
      </c>
      <c r="N11" s="183">
        <v>1111</v>
      </c>
    </row>
    <row r="12" spans="1:14" ht="18" customHeight="1">
      <c r="A12" s="83">
        <v>5</v>
      </c>
      <c r="B12" s="1329" t="s">
        <v>915</v>
      </c>
      <c r="C12" s="1329"/>
      <c r="D12" s="1330"/>
      <c r="E12" s="302">
        <v>396</v>
      </c>
      <c r="F12" s="183">
        <v>49</v>
      </c>
      <c r="G12" s="302">
        <v>369</v>
      </c>
      <c r="H12" s="183">
        <v>52</v>
      </c>
      <c r="I12" s="302">
        <v>286</v>
      </c>
      <c r="J12" s="183">
        <v>46</v>
      </c>
      <c r="K12" s="302">
        <v>293</v>
      </c>
      <c r="L12" s="183">
        <v>49</v>
      </c>
      <c r="M12" s="302">
        <v>258</v>
      </c>
      <c r="N12" s="183">
        <v>52</v>
      </c>
    </row>
    <row r="13" spans="1:14" ht="18" customHeight="1">
      <c r="A13" s="83">
        <v>6</v>
      </c>
      <c r="B13" s="1329" t="s">
        <v>905</v>
      </c>
      <c r="C13" s="1329"/>
      <c r="D13" s="1330"/>
      <c r="E13" s="302">
        <v>196</v>
      </c>
      <c r="F13" s="183">
        <v>197</v>
      </c>
      <c r="G13" s="302">
        <v>175</v>
      </c>
      <c r="H13" s="183">
        <v>149</v>
      </c>
      <c r="I13" s="302">
        <v>160</v>
      </c>
      <c r="J13" s="183">
        <v>145</v>
      </c>
      <c r="K13" s="302">
        <v>160</v>
      </c>
      <c r="L13" s="183">
        <v>128</v>
      </c>
      <c r="M13" s="302">
        <v>173</v>
      </c>
      <c r="N13" s="183">
        <v>119</v>
      </c>
    </row>
    <row r="14" spans="1:14" ht="30" customHeight="1">
      <c r="A14" s="422">
        <v>7</v>
      </c>
      <c r="B14" s="1334" t="s">
        <v>861</v>
      </c>
      <c r="C14" s="1335"/>
      <c r="D14" s="1336"/>
      <c r="E14" s="302">
        <v>177</v>
      </c>
      <c r="F14" s="183">
        <v>59</v>
      </c>
      <c r="G14" s="302">
        <v>180</v>
      </c>
      <c r="H14" s="183">
        <v>62</v>
      </c>
      <c r="I14" s="302">
        <v>177</v>
      </c>
      <c r="J14" s="183">
        <v>80</v>
      </c>
      <c r="K14" s="302">
        <v>186</v>
      </c>
      <c r="L14" s="183">
        <v>74</v>
      </c>
      <c r="M14" s="54">
        <v>174</v>
      </c>
      <c r="N14" s="183">
        <v>73</v>
      </c>
    </row>
    <row r="15" spans="1:14" ht="18" customHeight="1">
      <c r="A15" s="83">
        <v>8</v>
      </c>
      <c r="B15" s="1329" t="s">
        <v>909</v>
      </c>
      <c r="C15" s="1329"/>
      <c r="D15" s="1330"/>
      <c r="E15" s="435" t="s">
        <v>1127</v>
      </c>
      <c r="F15" s="371" t="s">
        <v>1127</v>
      </c>
      <c r="G15" s="302" t="s">
        <v>1127</v>
      </c>
      <c r="H15" s="183" t="s">
        <v>1127</v>
      </c>
      <c r="I15" s="302" t="s">
        <v>1127</v>
      </c>
      <c r="J15" s="183" t="s">
        <v>1127</v>
      </c>
      <c r="K15" s="302" t="s">
        <v>1127</v>
      </c>
      <c r="L15" s="183" t="s">
        <v>1127</v>
      </c>
      <c r="M15" s="302" t="s">
        <v>1127</v>
      </c>
      <c r="N15" s="1005" t="s">
        <v>1127</v>
      </c>
    </row>
    <row r="16" spans="1:14" ht="18" customHeight="1">
      <c r="A16" s="83">
        <v>9</v>
      </c>
      <c r="B16" s="1329" t="s">
        <v>910</v>
      </c>
      <c r="C16" s="1329"/>
      <c r="D16" s="1330"/>
      <c r="E16" s="302">
        <v>67879</v>
      </c>
      <c r="F16" s="183">
        <v>65050</v>
      </c>
      <c r="G16" s="302">
        <v>82333</v>
      </c>
      <c r="H16" s="183">
        <v>79818</v>
      </c>
      <c r="I16" s="302">
        <v>79235</v>
      </c>
      <c r="J16" s="183">
        <v>76622</v>
      </c>
      <c r="K16" s="302">
        <v>75455</v>
      </c>
      <c r="L16" s="183">
        <v>72782</v>
      </c>
      <c r="M16" s="302">
        <v>73745</v>
      </c>
      <c r="N16" s="183">
        <v>71254</v>
      </c>
    </row>
    <row r="17" spans="1:16" ht="18" customHeight="1">
      <c r="A17" s="83">
        <v>10</v>
      </c>
      <c r="B17" s="1329" t="s">
        <v>809</v>
      </c>
      <c r="C17" s="1329"/>
      <c r="D17" s="1330"/>
      <c r="E17" s="302">
        <v>200</v>
      </c>
      <c r="F17" s="183">
        <v>82</v>
      </c>
      <c r="G17" s="302">
        <v>194</v>
      </c>
      <c r="H17" s="183">
        <v>78</v>
      </c>
      <c r="I17" s="302">
        <v>193</v>
      </c>
      <c r="J17" s="183">
        <v>65</v>
      </c>
      <c r="K17" s="302">
        <v>199</v>
      </c>
      <c r="L17" s="183">
        <v>67</v>
      </c>
      <c r="M17" s="302">
        <v>200</v>
      </c>
      <c r="N17" s="183">
        <v>60</v>
      </c>
    </row>
    <row r="18" spans="1:16" ht="54" customHeight="1">
      <c r="A18" s="422">
        <v>11</v>
      </c>
      <c r="B18" s="1221" t="s">
        <v>195</v>
      </c>
      <c r="C18" s="1221"/>
      <c r="D18" s="1321"/>
      <c r="E18" s="302">
        <v>71</v>
      </c>
      <c r="F18" s="371" t="s">
        <v>1127</v>
      </c>
      <c r="G18" s="302">
        <v>65</v>
      </c>
      <c r="H18" s="183" t="s">
        <v>1127</v>
      </c>
      <c r="I18" s="302">
        <v>80</v>
      </c>
      <c r="J18" s="183" t="s">
        <v>1127</v>
      </c>
      <c r="K18" s="302">
        <v>74</v>
      </c>
      <c r="L18" s="183" t="s">
        <v>1127</v>
      </c>
      <c r="M18" s="302">
        <v>60</v>
      </c>
      <c r="N18" s="183" t="s">
        <v>1127</v>
      </c>
    </row>
    <row r="19" spans="1:16" ht="18" customHeight="1">
      <c r="A19" s="181">
        <v>12</v>
      </c>
      <c r="B19" s="1329" t="s">
        <v>1618</v>
      </c>
      <c r="C19" s="1329"/>
      <c r="D19" s="1330"/>
      <c r="E19" s="439">
        <v>1039</v>
      </c>
      <c r="F19" s="248">
        <v>1630</v>
      </c>
      <c r="G19" s="439">
        <v>586</v>
      </c>
      <c r="H19" s="248">
        <v>1575</v>
      </c>
      <c r="I19" s="439">
        <v>998</v>
      </c>
      <c r="J19" s="248">
        <v>1483</v>
      </c>
      <c r="K19" s="439">
        <v>724</v>
      </c>
      <c r="L19" s="248">
        <v>1043</v>
      </c>
      <c r="M19" s="439">
        <v>232</v>
      </c>
      <c r="N19" s="248">
        <v>1194</v>
      </c>
    </row>
    <row r="20" spans="1:16" ht="18" customHeight="1">
      <c r="A20" s="1305" t="s">
        <v>439</v>
      </c>
      <c r="B20" s="1306"/>
      <c r="C20" s="1306"/>
      <c r="D20" s="1199"/>
      <c r="E20" s="179">
        <f t="shared" ref="E20:N20" si="0">SUM(E8:E19)</f>
        <v>88030</v>
      </c>
      <c r="F20" s="180">
        <f t="shared" si="0"/>
        <v>85246</v>
      </c>
      <c r="G20" s="179">
        <f t="shared" si="0"/>
        <v>101821</v>
      </c>
      <c r="H20" s="180">
        <f t="shared" si="0"/>
        <v>99744</v>
      </c>
      <c r="I20" s="180">
        <f t="shared" si="0"/>
        <v>98947</v>
      </c>
      <c r="J20" s="180">
        <f t="shared" si="0"/>
        <v>96255</v>
      </c>
      <c r="K20" s="180">
        <f t="shared" si="0"/>
        <v>94578</v>
      </c>
      <c r="L20" s="180">
        <f t="shared" si="0"/>
        <v>91470</v>
      </c>
      <c r="M20" s="180">
        <f t="shared" si="0"/>
        <v>90770</v>
      </c>
      <c r="N20" s="180">
        <f t="shared" si="0"/>
        <v>88767</v>
      </c>
      <c r="P20" s="856"/>
    </row>
    <row r="21" spans="1:16">
      <c r="A21" s="268"/>
      <c r="B21" s="268"/>
      <c r="C21" s="268"/>
      <c r="D21" s="268"/>
      <c r="E21" s="268"/>
      <c r="F21" s="268"/>
      <c r="G21" s="268"/>
      <c r="H21" s="268"/>
      <c r="I21" s="727" t="s">
        <v>1028</v>
      </c>
      <c r="J21" s="727" t="s">
        <v>911</v>
      </c>
      <c r="K21" s="734"/>
      <c r="L21" s="727"/>
      <c r="M21" s="727"/>
      <c r="N21" s="651"/>
    </row>
    <row r="22" spans="1:16">
      <c r="A22" s="268"/>
      <c r="F22" s="268"/>
      <c r="G22" s="268"/>
      <c r="H22" s="268"/>
      <c r="I22" s="727"/>
      <c r="J22" s="727" t="s">
        <v>862</v>
      </c>
      <c r="K22" s="727"/>
      <c r="L22" s="727"/>
      <c r="M22" s="727"/>
      <c r="N22" s="651"/>
    </row>
    <row r="23" spans="1:16">
      <c r="A23" s="268"/>
      <c r="G23" s="268"/>
      <c r="H23" s="268"/>
      <c r="I23" s="727"/>
      <c r="J23" s="727" t="s">
        <v>1248</v>
      </c>
      <c r="K23" s="727"/>
      <c r="L23" s="727"/>
      <c r="M23" s="727"/>
      <c r="N23" s="651"/>
    </row>
    <row r="24" spans="1:16">
      <c r="A24" s="268"/>
      <c r="G24" s="268"/>
      <c r="H24" s="268"/>
      <c r="I24" s="727"/>
      <c r="J24" s="727" t="s">
        <v>1342</v>
      </c>
      <c r="K24" s="727"/>
      <c r="L24" s="727"/>
      <c r="M24" s="727"/>
      <c r="N24" s="651"/>
    </row>
    <row r="25" spans="1:16">
      <c r="A25" s="268"/>
      <c r="G25" s="268"/>
      <c r="H25" s="268"/>
      <c r="I25" s="727"/>
      <c r="J25" s="727" t="s">
        <v>811</v>
      </c>
      <c r="K25" s="651"/>
      <c r="L25" s="651"/>
      <c r="M25" s="727"/>
      <c r="N25" s="651"/>
    </row>
    <row r="26" spans="1:16">
      <c r="A26" s="268"/>
      <c r="G26" s="268"/>
      <c r="H26" s="268"/>
      <c r="I26" s="727"/>
      <c r="J26" s="727" t="s">
        <v>1343</v>
      </c>
      <c r="K26" s="727"/>
      <c r="L26" s="727"/>
      <c r="M26" s="727"/>
      <c r="N26" s="651"/>
    </row>
    <row r="27" spans="1:16">
      <c r="A27" s="268"/>
      <c r="G27" s="268"/>
      <c r="H27" s="21"/>
      <c r="I27" s="727"/>
      <c r="J27" s="1359" t="s">
        <v>327</v>
      </c>
      <c r="K27" s="1359"/>
      <c r="L27" s="1359"/>
      <c r="M27" s="1359"/>
      <c r="N27" s="1359"/>
    </row>
    <row r="28" spans="1:16">
      <c r="A28" s="268"/>
      <c r="G28" s="268"/>
      <c r="H28" s="268"/>
      <c r="I28" s="727"/>
      <c r="J28" s="727" t="s">
        <v>1361</v>
      </c>
      <c r="K28" s="727"/>
      <c r="L28" s="651"/>
      <c r="M28" s="727"/>
      <c r="N28" s="651"/>
    </row>
    <row r="29" spans="1:16">
      <c r="A29" s="268"/>
      <c r="G29" s="268"/>
      <c r="H29" s="268"/>
      <c r="I29" s="727"/>
      <c r="J29" s="727" t="s">
        <v>196</v>
      </c>
      <c r="K29" s="727"/>
      <c r="L29" s="727"/>
      <c r="M29" s="727"/>
      <c r="N29" s="651"/>
    </row>
    <row r="30" spans="1:16">
      <c r="A30" s="268"/>
      <c r="G30" s="268"/>
      <c r="H30" s="268"/>
      <c r="I30" s="21"/>
      <c r="J30" s="21"/>
      <c r="K30" s="21"/>
      <c r="L30" s="21"/>
      <c r="M30" s="21"/>
      <c r="N30" s="21"/>
    </row>
    <row r="31" spans="1:16">
      <c r="A31" s="268"/>
      <c r="B31" s="268"/>
      <c r="C31" s="268"/>
      <c r="D31" s="268"/>
      <c r="E31" s="268"/>
      <c r="F31" s="268"/>
      <c r="G31" s="268"/>
      <c r="H31" s="268"/>
      <c r="I31" s="268"/>
      <c r="J31" s="268"/>
      <c r="K31" s="268"/>
      <c r="L31" s="268"/>
      <c r="M31" s="268"/>
      <c r="N31" s="268"/>
    </row>
    <row r="32" spans="1:16">
      <c r="A32" s="268"/>
      <c r="B32" s="268"/>
      <c r="C32" s="268"/>
      <c r="D32" s="268"/>
      <c r="E32" s="268"/>
      <c r="F32" s="268"/>
      <c r="G32" s="268"/>
      <c r="H32" s="268"/>
      <c r="I32" s="268"/>
      <c r="J32" s="268"/>
      <c r="K32" s="268"/>
      <c r="L32" s="268"/>
      <c r="M32" s="268"/>
      <c r="N32" s="268"/>
    </row>
    <row r="33" spans="1:14">
      <c r="A33" s="268"/>
      <c r="B33" s="268"/>
      <c r="C33" s="268"/>
      <c r="D33" s="268"/>
      <c r="E33" s="268"/>
      <c r="F33" s="268"/>
      <c r="G33" s="268"/>
      <c r="H33" s="268"/>
      <c r="I33" s="268"/>
      <c r="J33" s="268"/>
      <c r="K33" s="268"/>
      <c r="L33" s="268"/>
      <c r="M33" s="268"/>
      <c r="N33" s="268"/>
    </row>
  </sheetData>
  <mergeCells count="24">
    <mergeCell ref="A1:N1"/>
    <mergeCell ref="B18:D18"/>
    <mergeCell ref="B17:D17"/>
    <mergeCell ref="A7:D7"/>
    <mergeCell ref="B8:D8"/>
    <mergeCell ref="G5:H5"/>
    <mergeCell ref="A2:N2"/>
    <mergeCell ref="B12:D12"/>
    <mergeCell ref="B13:D13"/>
    <mergeCell ref="B14:D14"/>
    <mergeCell ref="A20:D20"/>
    <mergeCell ref="M5:N5"/>
    <mergeCell ref="J27:N27"/>
    <mergeCell ref="E4:N4"/>
    <mergeCell ref="K5:L5"/>
    <mergeCell ref="I5:J5"/>
    <mergeCell ref="E5:F5"/>
    <mergeCell ref="B9:D9"/>
    <mergeCell ref="B11:D11"/>
    <mergeCell ref="A4:D6"/>
    <mergeCell ref="B19:D19"/>
    <mergeCell ref="B16:D16"/>
    <mergeCell ref="B15:D15"/>
    <mergeCell ref="B10:D10"/>
  </mergeCells>
  <phoneticPr fontId="0" type="noConversion"/>
  <printOptions horizontalCentered="1" verticalCentered="1"/>
  <pageMargins left="0.1" right="0.1" top="0.1" bottom="0.1" header="0.6" footer="0.1"/>
  <pageSetup paperSize="9" orientation="landscape" r:id="rId1"/>
  <headerFooter alignWithMargins="0"/>
</worksheet>
</file>

<file path=xl/worksheets/sheet33.xml><?xml version="1.0" encoding="utf-8"?>
<worksheet xmlns="http://schemas.openxmlformats.org/spreadsheetml/2006/main" xmlns:r="http://schemas.openxmlformats.org/officeDocument/2006/relationships">
  <sheetPr codeName="Sheet32"/>
  <dimension ref="A1:I42"/>
  <sheetViews>
    <sheetView topLeftCell="A16" workbookViewId="0">
      <selection activeCell="M30" sqref="M30"/>
    </sheetView>
  </sheetViews>
  <sheetFormatPr defaultRowHeight="12.75"/>
  <cols>
    <col min="1" max="1" width="2.42578125" style="172" customWidth="1"/>
    <col min="2" max="2" width="2.85546875" style="172" customWidth="1"/>
    <col min="3" max="3" width="1.7109375" style="172" customWidth="1"/>
    <col min="4" max="4" width="59.85546875" style="172" customWidth="1"/>
    <col min="5" max="9" width="14.42578125" style="172" customWidth="1"/>
    <col min="10" max="16384" width="9.140625" style="172"/>
  </cols>
  <sheetData>
    <row r="1" spans="1:9" ht="13.5" customHeight="1">
      <c r="A1" s="1181" t="s">
        <v>1581</v>
      </c>
      <c r="B1" s="1181"/>
      <c r="C1" s="1181"/>
      <c r="D1" s="1181"/>
      <c r="E1" s="1181"/>
      <c r="F1" s="1181"/>
      <c r="G1" s="1181"/>
      <c r="H1" s="1181"/>
      <c r="I1" s="1181"/>
    </row>
    <row r="2" spans="1:9" s="206" customFormat="1" ht="17.25" customHeight="1">
      <c r="A2" s="1226" t="str">
        <f>CONCATENATE("Teachers in different type of General Educational Institutions in the district of ",District!A1)</f>
        <v>Teachers in different type of General Educational Institutions in the district of Bankura</v>
      </c>
      <c r="B2" s="1226"/>
      <c r="C2" s="1226"/>
      <c r="D2" s="1226"/>
      <c r="E2" s="1226"/>
      <c r="F2" s="1226"/>
      <c r="G2" s="1226"/>
      <c r="H2" s="1226"/>
      <c r="I2" s="1226"/>
    </row>
    <row r="3" spans="1:9">
      <c r="A3" s="259"/>
      <c r="B3" s="299"/>
      <c r="C3" s="299"/>
      <c r="D3" s="299"/>
      <c r="E3" s="260"/>
      <c r="F3" s="260"/>
      <c r="G3" s="260"/>
      <c r="H3" s="260"/>
      <c r="I3" s="114" t="s">
        <v>452</v>
      </c>
    </row>
    <row r="4" spans="1:9">
      <c r="A4" s="1186" t="s">
        <v>736</v>
      </c>
      <c r="B4" s="1187"/>
      <c r="C4" s="1187"/>
      <c r="D4" s="1184"/>
      <c r="E4" s="1193" t="s">
        <v>304</v>
      </c>
      <c r="F4" s="1191"/>
      <c r="G4" s="1191"/>
      <c r="H4" s="1187"/>
      <c r="I4" s="1184"/>
    </row>
    <row r="5" spans="1:9">
      <c r="A5" s="1242"/>
      <c r="B5" s="1218"/>
      <c r="C5" s="1218"/>
      <c r="D5" s="1185"/>
      <c r="E5" s="471" t="str">
        <f>District!B11</f>
        <v>2009-10</v>
      </c>
      <c r="F5" s="471" t="str">
        <f>District!C11</f>
        <v>2010-11</v>
      </c>
      <c r="G5" s="471" t="str">
        <f>District!D11</f>
        <v>2011-12</v>
      </c>
      <c r="H5" s="471" t="str">
        <f>District!E11</f>
        <v>2012-13</v>
      </c>
      <c r="I5" s="471" t="str">
        <f>District!F11</f>
        <v>2013-14</v>
      </c>
    </row>
    <row r="6" spans="1:9">
      <c r="A6" s="1201" t="s">
        <v>418</v>
      </c>
      <c r="B6" s="1202"/>
      <c r="C6" s="1202"/>
      <c r="D6" s="1257"/>
      <c r="E6" s="213" t="s">
        <v>419</v>
      </c>
      <c r="F6" s="213" t="s">
        <v>420</v>
      </c>
      <c r="G6" s="213" t="s">
        <v>421</v>
      </c>
      <c r="H6" s="181" t="s">
        <v>422</v>
      </c>
      <c r="I6" s="214" t="s">
        <v>423</v>
      </c>
    </row>
    <row r="7" spans="1:9" ht="13.5" customHeight="1">
      <c r="A7" s="446" t="s">
        <v>942</v>
      </c>
      <c r="B7" s="1322" t="s">
        <v>30</v>
      </c>
      <c r="C7" s="1323"/>
      <c r="D7" s="1324"/>
      <c r="E7" s="34">
        <f>SUM(E8,E13,E18,E23)</f>
        <v>16545</v>
      </c>
      <c r="F7" s="28">
        <f>SUM(F8,F13,F18,F23)</f>
        <v>18719</v>
      </c>
      <c r="G7" s="28">
        <f>SUM(G8,G13,G18,G23)</f>
        <v>18775</v>
      </c>
      <c r="H7" s="28">
        <f>SUM(H8,H13,H18,H23)</f>
        <v>18100</v>
      </c>
      <c r="I7" s="28">
        <f>SUM(I8,I13,I18,I23)</f>
        <v>18955</v>
      </c>
    </row>
    <row r="8" spans="1:9" ht="13.5" customHeight="1">
      <c r="A8" s="406"/>
      <c r="B8" s="76" t="s">
        <v>644</v>
      </c>
      <c r="C8" s="1316" t="s">
        <v>681</v>
      </c>
      <c r="D8" s="1317"/>
      <c r="E8" s="34">
        <f>SUM(E9:E12)</f>
        <v>8430</v>
      </c>
      <c r="F8" s="28">
        <f>SUM(F9:F12)</f>
        <v>10452</v>
      </c>
      <c r="G8" s="28">
        <f>SUM(G9:G12)</f>
        <v>10302</v>
      </c>
      <c r="H8" s="28">
        <f>SUM(H9:H12)</f>
        <v>9361</v>
      </c>
      <c r="I8" s="28">
        <f>SUM(I9:I12)</f>
        <v>9733</v>
      </c>
    </row>
    <row r="9" spans="1:9" ht="13.5" customHeight="1">
      <c r="A9" s="406"/>
      <c r="B9" s="406"/>
      <c r="C9" s="306"/>
      <c r="D9" s="197" t="s">
        <v>633</v>
      </c>
      <c r="E9" s="432">
        <v>8357</v>
      </c>
      <c r="F9" s="433">
        <v>10348</v>
      </c>
      <c r="G9" s="433">
        <v>10181</v>
      </c>
      <c r="H9" s="433">
        <v>9240</v>
      </c>
      <c r="I9" s="433">
        <v>9587</v>
      </c>
    </row>
    <row r="10" spans="1:9" ht="13.5" customHeight="1">
      <c r="A10" s="406"/>
      <c r="B10" s="406"/>
      <c r="C10" s="306"/>
      <c r="D10" s="197" t="s">
        <v>634</v>
      </c>
      <c r="E10" s="432">
        <v>13</v>
      </c>
      <c r="F10" s="433">
        <v>20</v>
      </c>
      <c r="G10" s="433">
        <v>17</v>
      </c>
      <c r="H10" s="433">
        <v>17</v>
      </c>
      <c r="I10" s="433">
        <v>13</v>
      </c>
    </row>
    <row r="11" spans="1:9" ht="13.5" customHeight="1">
      <c r="A11" s="406"/>
      <c r="B11" s="406"/>
      <c r="C11" s="306"/>
      <c r="D11" s="197" t="s">
        <v>641</v>
      </c>
      <c r="E11" s="432">
        <v>60</v>
      </c>
      <c r="F11" s="433">
        <v>84</v>
      </c>
      <c r="G11" s="433">
        <v>104</v>
      </c>
      <c r="H11" s="433">
        <v>104</v>
      </c>
      <c r="I11" s="433">
        <v>133</v>
      </c>
    </row>
    <row r="12" spans="1:9" ht="13.5" customHeight="1">
      <c r="A12" s="406"/>
      <c r="B12" s="406"/>
      <c r="C12" s="306"/>
      <c r="D12" s="197" t="s">
        <v>737</v>
      </c>
      <c r="E12" s="436" t="s">
        <v>1127</v>
      </c>
      <c r="F12" s="437" t="s">
        <v>1127</v>
      </c>
      <c r="G12" s="437" t="s">
        <v>1127</v>
      </c>
      <c r="H12" s="433" t="s">
        <v>1127</v>
      </c>
      <c r="I12" s="433" t="s">
        <v>1127</v>
      </c>
    </row>
    <row r="13" spans="1:9" ht="13.5" customHeight="1">
      <c r="A13" s="406"/>
      <c r="B13" s="76" t="s">
        <v>642</v>
      </c>
      <c r="C13" s="1318" t="s">
        <v>685</v>
      </c>
      <c r="D13" s="1319"/>
      <c r="E13" s="34">
        <f>SUM(E14:E17)</f>
        <v>755</v>
      </c>
      <c r="F13" s="28">
        <f>SUM(F14:F17)</f>
        <v>864</v>
      </c>
      <c r="G13" s="28">
        <f>SUM(G14:G17)</f>
        <v>1022</v>
      </c>
      <c r="H13" s="28">
        <f>SUM(H14:H17)</f>
        <v>1100</v>
      </c>
      <c r="I13" s="28">
        <f>SUM(I14:I17)</f>
        <v>1139</v>
      </c>
    </row>
    <row r="14" spans="1:9" ht="13.5" customHeight="1">
      <c r="A14" s="406"/>
      <c r="B14" s="406"/>
      <c r="C14" s="306"/>
      <c r="D14" s="197" t="s">
        <v>912</v>
      </c>
      <c r="E14" s="432">
        <v>715</v>
      </c>
      <c r="F14" s="433">
        <v>801</v>
      </c>
      <c r="G14" s="433">
        <v>956</v>
      </c>
      <c r="H14" s="433">
        <v>1070</v>
      </c>
      <c r="I14" s="433">
        <v>1116</v>
      </c>
    </row>
    <row r="15" spans="1:9" ht="13.5" customHeight="1">
      <c r="A15" s="406"/>
      <c r="B15" s="406"/>
      <c r="C15" s="306"/>
      <c r="D15" s="197" t="s">
        <v>282</v>
      </c>
      <c r="E15" s="432">
        <v>8</v>
      </c>
      <c r="F15" s="433">
        <v>29</v>
      </c>
      <c r="G15" s="433">
        <v>39</v>
      </c>
      <c r="H15" s="433">
        <v>30</v>
      </c>
      <c r="I15" s="433">
        <v>23</v>
      </c>
    </row>
    <row r="16" spans="1:9" ht="13.5" customHeight="1">
      <c r="A16" s="406"/>
      <c r="B16" s="406"/>
      <c r="C16" s="306"/>
      <c r="D16" s="197" t="s">
        <v>641</v>
      </c>
      <c r="E16" s="432">
        <v>32</v>
      </c>
      <c r="F16" s="433">
        <v>34</v>
      </c>
      <c r="G16" s="433">
        <v>27</v>
      </c>
      <c r="H16" s="433" t="s">
        <v>1127</v>
      </c>
      <c r="I16" s="433" t="s">
        <v>1127</v>
      </c>
    </row>
    <row r="17" spans="1:9" ht="13.5" customHeight="1">
      <c r="A17" s="406"/>
      <c r="B17" s="406"/>
      <c r="C17" s="306"/>
      <c r="D17" s="197" t="s">
        <v>737</v>
      </c>
      <c r="E17" s="280" t="s">
        <v>1127</v>
      </c>
      <c r="F17" s="328" t="s">
        <v>1127</v>
      </c>
      <c r="G17" s="328" t="s">
        <v>1127</v>
      </c>
      <c r="H17" s="328" t="s">
        <v>1127</v>
      </c>
      <c r="I17" s="328" t="s">
        <v>1127</v>
      </c>
    </row>
    <row r="18" spans="1:9" ht="13.5" customHeight="1">
      <c r="A18" s="406"/>
      <c r="B18" s="76" t="s">
        <v>643</v>
      </c>
      <c r="C18" s="1316" t="s">
        <v>686</v>
      </c>
      <c r="D18" s="1317"/>
      <c r="E18" s="34">
        <f>SUM(E19:E22)</f>
        <v>3095</v>
      </c>
      <c r="F18" s="28">
        <f>SUM(F19:F22)</f>
        <v>3101</v>
      </c>
      <c r="G18" s="28">
        <f>SUM(G19:G22)</f>
        <v>2842</v>
      </c>
      <c r="H18" s="28">
        <f>SUM(H19:H22)</f>
        <v>2475</v>
      </c>
      <c r="I18" s="28">
        <f>SUM(I19:I22)</f>
        <v>2671</v>
      </c>
    </row>
    <row r="19" spans="1:9" ht="13.5" customHeight="1">
      <c r="A19" s="406"/>
      <c r="B19" s="406"/>
      <c r="C19" s="306"/>
      <c r="D19" s="197" t="s">
        <v>912</v>
      </c>
      <c r="E19" s="432">
        <v>2944</v>
      </c>
      <c r="F19" s="433">
        <v>2960</v>
      </c>
      <c r="G19" s="433">
        <v>2669</v>
      </c>
      <c r="H19" s="433">
        <v>2341</v>
      </c>
      <c r="I19" s="433">
        <v>2506</v>
      </c>
    </row>
    <row r="20" spans="1:9" ht="13.5" customHeight="1">
      <c r="A20" s="406"/>
      <c r="B20" s="406"/>
      <c r="C20" s="306"/>
      <c r="D20" s="197" t="s">
        <v>281</v>
      </c>
      <c r="E20" s="432">
        <v>74</v>
      </c>
      <c r="F20" s="433">
        <v>63</v>
      </c>
      <c r="G20" s="433">
        <v>63</v>
      </c>
      <c r="H20" s="433">
        <v>62</v>
      </c>
      <c r="I20" s="433">
        <v>59</v>
      </c>
    </row>
    <row r="21" spans="1:9" ht="13.5" customHeight="1">
      <c r="A21" s="406"/>
      <c r="B21" s="406"/>
      <c r="C21" s="306"/>
      <c r="D21" s="197" t="s">
        <v>641</v>
      </c>
      <c r="E21" s="432">
        <v>77</v>
      </c>
      <c r="F21" s="433">
        <v>78</v>
      </c>
      <c r="G21" s="433">
        <v>110</v>
      </c>
      <c r="H21" s="433">
        <v>72</v>
      </c>
      <c r="I21" s="433">
        <v>106</v>
      </c>
    </row>
    <row r="22" spans="1:9" ht="13.5" customHeight="1">
      <c r="A22" s="406"/>
      <c r="B22" s="406"/>
      <c r="C22" s="306"/>
      <c r="D22" s="197" t="s">
        <v>737</v>
      </c>
      <c r="E22" s="280" t="s">
        <v>1127</v>
      </c>
      <c r="F22" s="328" t="s">
        <v>1127</v>
      </c>
      <c r="G22" s="328" t="s">
        <v>1127</v>
      </c>
      <c r="H22" s="328" t="s">
        <v>1127</v>
      </c>
      <c r="I22" s="328"/>
    </row>
    <row r="23" spans="1:9" ht="27.75" customHeight="1">
      <c r="A23" s="406"/>
      <c r="B23" s="407" t="s">
        <v>645</v>
      </c>
      <c r="C23" s="1316" t="s">
        <v>687</v>
      </c>
      <c r="D23" s="1317"/>
      <c r="E23" s="34">
        <f>SUM(E24:E28)</f>
        <v>4265</v>
      </c>
      <c r="F23" s="28">
        <f>SUM(F24:F28)</f>
        <v>4302</v>
      </c>
      <c r="G23" s="28">
        <f>SUM(G24:G28)</f>
        <v>4609</v>
      </c>
      <c r="H23" s="28">
        <f>SUM(H24:H28)</f>
        <v>5164</v>
      </c>
      <c r="I23" s="28">
        <f>SUM(I24:I28)</f>
        <v>5412</v>
      </c>
    </row>
    <row r="24" spans="1:9" ht="13.5" customHeight="1">
      <c r="A24" s="406"/>
      <c r="B24" s="406"/>
      <c r="C24" s="306"/>
      <c r="D24" s="197" t="s">
        <v>803</v>
      </c>
      <c r="E24" s="432">
        <v>4059</v>
      </c>
      <c r="F24" s="433">
        <v>4156</v>
      </c>
      <c r="G24" s="433">
        <v>4484</v>
      </c>
      <c r="H24" s="433">
        <v>5007</v>
      </c>
      <c r="I24" s="433">
        <v>5283</v>
      </c>
    </row>
    <row r="25" spans="1:9" ht="13.5" customHeight="1">
      <c r="A25" s="406"/>
      <c r="B25" s="406"/>
      <c r="C25" s="306"/>
      <c r="D25" s="197" t="s">
        <v>804</v>
      </c>
      <c r="E25" s="432">
        <v>84</v>
      </c>
      <c r="F25" s="433">
        <v>46</v>
      </c>
      <c r="G25" s="433">
        <v>11</v>
      </c>
      <c r="H25" s="433">
        <v>15</v>
      </c>
      <c r="I25" s="433">
        <v>16</v>
      </c>
    </row>
    <row r="26" spans="1:9" ht="13.5" customHeight="1">
      <c r="A26" s="406"/>
      <c r="B26" s="406"/>
      <c r="C26" s="306"/>
      <c r="D26" s="197" t="s">
        <v>641</v>
      </c>
      <c r="E26" s="432">
        <v>33</v>
      </c>
      <c r="F26" s="433">
        <v>17</v>
      </c>
      <c r="G26" s="433">
        <v>33</v>
      </c>
      <c r="H26" s="433">
        <v>67</v>
      </c>
      <c r="I26" s="433">
        <v>46</v>
      </c>
    </row>
    <row r="27" spans="1:9" ht="13.5" customHeight="1">
      <c r="A27" s="406"/>
      <c r="B27" s="406"/>
      <c r="C27" s="306"/>
      <c r="D27" s="197" t="s">
        <v>737</v>
      </c>
      <c r="E27" s="183" t="s">
        <v>1127</v>
      </c>
      <c r="F27" s="184" t="s">
        <v>1127</v>
      </c>
      <c r="G27" s="184" t="s">
        <v>1127</v>
      </c>
      <c r="H27" s="184" t="s">
        <v>1127</v>
      </c>
      <c r="I27" s="184" t="s">
        <v>1127</v>
      </c>
    </row>
    <row r="28" spans="1:9" ht="13.5" customHeight="1">
      <c r="A28" s="406"/>
      <c r="B28" s="406"/>
      <c r="C28" s="306"/>
      <c r="D28" s="197" t="s">
        <v>656</v>
      </c>
      <c r="E28" s="432">
        <v>89</v>
      </c>
      <c r="F28" s="433">
        <v>83</v>
      </c>
      <c r="G28" s="433">
        <v>81</v>
      </c>
      <c r="H28" s="433">
        <v>75</v>
      </c>
      <c r="I28" s="433">
        <v>67</v>
      </c>
    </row>
    <row r="29" spans="1:9" ht="13.5" customHeight="1">
      <c r="A29" s="446" t="s">
        <v>943</v>
      </c>
      <c r="B29" s="344" t="s">
        <v>31</v>
      </c>
      <c r="C29" s="345"/>
      <c r="D29" s="346"/>
      <c r="E29" s="408">
        <v>646</v>
      </c>
      <c r="F29" s="409">
        <v>645</v>
      </c>
      <c r="G29" s="409">
        <v>617</v>
      </c>
      <c r="H29" s="409">
        <v>594</v>
      </c>
      <c r="I29" s="409">
        <v>556</v>
      </c>
    </row>
    <row r="30" spans="1:9" ht="25.5" customHeight="1">
      <c r="A30" s="428" t="s">
        <v>944</v>
      </c>
      <c r="B30" s="1320" t="s">
        <v>35</v>
      </c>
      <c r="C30" s="1221"/>
      <c r="D30" s="1321"/>
      <c r="E30" s="43" t="s">
        <v>1127</v>
      </c>
      <c r="F30" s="44" t="s">
        <v>1127</v>
      </c>
      <c r="G30" s="44" t="s">
        <v>1127</v>
      </c>
      <c r="H30" s="44" t="s">
        <v>1127</v>
      </c>
      <c r="I30" s="44" t="s">
        <v>1127</v>
      </c>
    </row>
    <row r="31" spans="1:9" ht="13.5" customHeight="1">
      <c r="A31" s="448" t="s">
        <v>945</v>
      </c>
      <c r="B31" s="1325" t="s">
        <v>914</v>
      </c>
      <c r="C31" s="1326"/>
      <c r="D31" s="1327"/>
      <c r="E31" s="449">
        <v>10</v>
      </c>
      <c r="F31" s="450">
        <v>17</v>
      </c>
      <c r="G31" s="450">
        <v>33</v>
      </c>
      <c r="H31" s="450">
        <v>28</v>
      </c>
      <c r="I31" s="450">
        <v>14</v>
      </c>
    </row>
    <row r="32" spans="1:9">
      <c r="A32" s="712"/>
      <c r="B32" s="423"/>
      <c r="C32" s="423"/>
      <c r="E32" s="725" t="s">
        <v>610</v>
      </c>
      <c r="F32" s="726" t="s">
        <v>805</v>
      </c>
      <c r="G32" s="377"/>
      <c r="H32" s="377"/>
      <c r="I32" s="377"/>
    </row>
    <row r="33" spans="1:9">
      <c r="A33" s="266"/>
      <c r="E33" s="726"/>
      <c r="F33" s="726" t="s">
        <v>806</v>
      </c>
      <c r="G33" s="377"/>
      <c r="H33" s="377"/>
      <c r="I33" s="377"/>
    </row>
    <row r="34" spans="1:9">
      <c r="A34" s="266"/>
      <c r="B34" s="266"/>
      <c r="C34" s="378"/>
      <c r="D34" s="378"/>
      <c r="E34" s="726"/>
      <c r="F34" s="726" t="s">
        <v>336</v>
      </c>
      <c r="G34" s="377"/>
      <c r="H34" s="377"/>
      <c r="I34" s="377"/>
    </row>
    <row r="35" spans="1:9">
      <c r="A35" s="266"/>
      <c r="B35" s="266"/>
      <c r="C35" s="378"/>
      <c r="D35" s="378"/>
      <c r="E35" s="726"/>
      <c r="F35" s="726" t="s">
        <v>335</v>
      </c>
      <c r="G35" s="377"/>
      <c r="H35" s="377"/>
      <c r="I35" s="377"/>
    </row>
    <row r="36" spans="1:9">
      <c r="A36" s="266"/>
      <c r="B36" s="266"/>
      <c r="C36" s="378"/>
      <c r="D36" s="378"/>
      <c r="E36" s="726"/>
      <c r="F36" s="726" t="s">
        <v>655</v>
      </c>
      <c r="G36" s="377"/>
      <c r="H36" s="377"/>
      <c r="I36" s="377"/>
    </row>
    <row r="37" spans="1:9">
      <c r="A37" s="266"/>
      <c r="B37" s="266"/>
      <c r="C37" s="378"/>
      <c r="D37" s="378"/>
      <c r="E37" s="726"/>
      <c r="F37" s="726" t="s">
        <v>738</v>
      </c>
      <c r="G37" s="377"/>
      <c r="H37" s="377"/>
      <c r="I37" s="377"/>
    </row>
    <row r="38" spans="1:9">
      <c r="A38" s="266"/>
      <c r="B38" s="266"/>
      <c r="C38" s="378"/>
      <c r="D38" s="378"/>
      <c r="E38" s="726"/>
      <c r="F38" s="712" t="s">
        <v>807</v>
      </c>
      <c r="G38" s="423"/>
      <c r="H38" s="423"/>
      <c r="I38" s="423"/>
    </row>
    <row r="39" spans="1:9">
      <c r="A39" s="266"/>
      <c r="B39" s="266"/>
      <c r="C39" s="378"/>
      <c r="D39" s="378"/>
      <c r="E39" s="378"/>
      <c r="F39" s="423"/>
      <c r="G39" s="423"/>
      <c r="H39" s="423"/>
      <c r="I39" s="423"/>
    </row>
    <row r="40" spans="1:9">
      <c r="C40" s="268"/>
      <c r="D40" s="268"/>
      <c r="E40" s="268"/>
      <c r="F40" s="268"/>
      <c r="G40" s="268"/>
      <c r="H40" s="268"/>
      <c r="I40" s="268"/>
    </row>
    <row r="41" spans="1:9">
      <c r="C41" s="268"/>
      <c r="D41" s="268"/>
      <c r="E41" s="268"/>
      <c r="F41" s="268"/>
      <c r="G41" s="268"/>
      <c r="H41" s="268"/>
      <c r="I41" s="268"/>
    </row>
    <row r="42" spans="1:9">
      <c r="C42" s="268"/>
      <c r="D42" s="268"/>
      <c r="E42" s="268"/>
      <c r="F42" s="268"/>
      <c r="G42" s="268"/>
      <c r="H42" s="268"/>
      <c r="I42" s="268"/>
    </row>
  </sheetData>
  <mergeCells count="12">
    <mergeCell ref="B31:D31"/>
    <mergeCell ref="B30:D30"/>
    <mergeCell ref="C18:D18"/>
    <mergeCell ref="C23:D23"/>
    <mergeCell ref="E4:I4"/>
    <mergeCell ref="A1:I1"/>
    <mergeCell ref="C8:D8"/>
    <mergeCell ref="C13:D13"/>
    <mergeCell ref="A2:I2"/>
    <mergeCell ref="A4:D5"/>
    <mergeCell ref="B7:D7"/>
    <mergeCell ref="A6:D6"/>
  </mergeCells>
  <phoneticPr fontId="0" type="noConversion"/>
  <printOptions horizontalCentered="1" verticalCentered="1"/>
  <pageMargins left="0.1" right="0.1" top="0.1" bottom="0.1" header="0.5" footer="0.1"/>
  <pageSetup paperSize="9" scale="99" orientation="landscape" r:id="rId1"/>
  <headerFooter alignWithMargins="0"/>
</worksheet>
</file>

<file path=xl/worksheets/sheet34.xml><?xml version="1.0" encoding="utf-8"?>
<worksheet xmlns="http://schemas.openxmlformats.org/spreadsheetml/2006/main" xmlns:r="http://schemas.openxmlformats.org/officeDocument/2006/relationships">
  <sheetPr codeName="Sheet33"/>
  <dimension ref="A1:I46"/>
  <sheetViews>
    <sheetView topLeftCell="A4" workbookViewId="0">
      <selection activeCell="M30" sqref="M30"/>
    </sheetView>
  </sheetViews>
  <sheetFormatPr defaultRowHeight="12.75"/>
  <cols>
    <col min="1" max="1" width="3.5703125" style="172" customWidth="1"/>
    <col min="2" max="2" width="3.140625" style="172" customWidth="1"/>
    <col min="3" max="3" width="1.7109375" style="172" customWidth="1"/>
    <col min="4" max="4" width="51.28515625" style="172" customWidth="1"/>
    <col min="5" max="8" width="12.28515625" style="172" customWidth="1"/>
    <col min="9" max="9" width="13.42578125" style="172" customWidth="1"/>
    <col min="10" max="16384" width="9.140625" style="172"/>
  </cols>
  <sheetData>
    <row r="1" spans="1:9" ht="13.5" customHeight="1">
      <c r="A1" s="1229" t="s">
        <v>1580</v>
      </c>
      <c r="B1" s="1229"/>
      <c r="C1" s="1229"/>
      <c r="D1" s="1229"/>
      <c r="E1" s="1229"/>
      <c r="F1" s="1229"/>
      <c r="G1" s="1229"/>
      <c r="H1" s="1229"/>
      <c r="I1" s="1229"/>
    </row>
    <row r="2" spans="1:9" s="206" customFormat="1" ht="36.75" customHeight="1">
      <c r="A2" s="1362" t="str">
        <f>CONCATENATE("Teachers in different type of Professional &amp; Technical Educational Institutions 
in the district of ",District!A1)</f>
        <v>Teachers in different type of Professional &amp; Technical Educational Institutions 
in the district of Bankura</v>
      </c>
      <c r="B2" s="1362"/>
      <c r="C2" s="1362"/>
      <c r="D2" s="1362"/>
      <c r="E2" s="1362"/>
      <c r="F2" s="1362"/>
      <c r="G2" s="1362"/>
      <c r="H2" s="1362"/>
      <c r="I2" s="1362"/>
    </row>
    <row r="3" spans="1:9">
      <c r="A3" s="206"/>
      <c r="B3" s="206"/>
      <c r="C3" s="206"/>
      <c r="D3" s="206"/>
      <c r="E3" s="206"/>
      <c r="F3" s="206"/>
      <c r="G3" s="206"/>
      <c r="H3" s="206"/>
      <c r="I3" s="219" t="s">
        <v>452</v>
      </c>
    </row>
    <row r="4" spans="1:9">
      <c r="A4" s="1186" t="s">
        <v>736</v>
      </c>
      <c r="B4" s="1187"/>
      <c r="C4" s="1187"/>
      <c r="D4" s="1184"/>
      <c r="E4" s="1209" t="s">
        <v>304</v>
      </c>
      <c r="F4" s="1346"/>
      <c r="G4" s="1346"/>
      <c r="H4" s="1346"/>
      <c r="I4" s="1210"/>
    </row>
    <row r="5" spans="1:9">
      <c r="A5" s="1242"/>
      <c r="B5" s="1218"/>
      <c r="C5" s="1218"/>
      <c r="D5" s="1185"/>
      <c r="E5" s="471" t="str">
        <f>District!B11</f>
        <v>2009-10</v>
      </c>
      <c r="F5" s="553" t="str">
        <f>District!C11</f>
        <v>2010-11</v>
      </c>
      <c r="G5" s="471" t="str">
        <f>District!D11</f>
        <v>2011-12</v>
      </c>
      <c r="H5" s="553" t="str">
        <f>District!E11</f>
        <v>2012-13</v>
      </c>
      <c r="I5" s="471" t="str">
        <f>District!F11</f>
        <v>2013-14</v>
      </c>
    </row>
    <row r="6" spans="1:9">
      <c r="A6" s="1343" t="s">
        <v>418</v>
      </c>
      <c r="B6" s="1344"/>
      <c r="C6" s="1344"/>
      <c r="D6" s="1345"/>
      <c r="E6" s="424" t="s">
        <v>419</v>
      </c>
      <c r="F6" s="424" t="s">
        <v>420</v>
      </c>
      <c r="G6" s="424" t="s">
        <v>421</v>
      </c>
      <c r="H6" s="424" t="s">
        <v>422</v>
      </c>
      <c r="I6" s="204" t="s">
        <v>423</v>
      </c>
    </row>
    <row r="7" spans="1:9">
      <c r="A7" s="169" t="s">
        <v>942</v>
      </c>
      <c r="B7" s="1350" t="s">
        <v>1497</v>
      </c>
      <c r="C7" s="1351"/>
      <c r="D7" s="1352"/>
      <c r="E7" s="34">
        <f>E8+E13+E16</f>
        <v>159</v>
      </c>
      <c r="F7" s="158">
        <f>F8+F13+F16</f>
        <v>193</v>
      </c>
      <c r="G7" s="158">
        <f>G8+G13+G16</f>
        <v>192</v>
      </c>
      <c r="H7" s="158">
        <f>H8+H13+H16</f>
        <v>167</v>
      </c>
      <c r="I7" s="158">
        <v>141</v>
      </c>
    </row>
    <row r="8" spans="1:9">
      <c r="A8" s="421"/>
      <c r="B8" s="455" t="s">
        <v>644</v>
      </c>
      <c r="C8" s="26" t="s">
        <v>657</v>
      </c>
      <c r="D8" s="431"/>
      <c r="E8" s="34">
        <f>SUM(E9:E12)</f>
        <v>34</v>
      </c>
      <c r="F8" s="28">
        <f>SUM(F9:F12)</f>
        <v>47</v>
      </c>
      <c r="G8" s="28">
        <f>SUM(G9:G12)</f>
        <v>44</v>
      </c>
      <c r="H8" s="28">
        <f>SUM(H9:H12)</f>
        <v>45</v>
      </c>
      <c r="I8" s="28">
        <v>31</v>
      </c>
    </row>
    <row r="9" spans="1:9">
      <c r="A9" s="421"/>
      <c r="B9" s="421"/>
      <c r="C9" s="177"/>
      <c r="D9" s="175" t="s">
        <v>663</v>
      </c>
      <c r="E9" s="183">
        <v>2</v>
      </c>
      <c r="F9" s="184">
        <v>2</v>
      </c>
      <c r="G9" s="184">
        <v>2</v>
      </c>
      <c r="H9" s="184">
        <v>2</v>
      </c>
      <c r="I9" s="184">
        <v>2</v>
      </c>
    </row>
    <row r="10" spans="1:9">
      <c r="A10" s="421"/>
      <c r="B10" s="421"/>
      <c r="C10" s="177"/>
      <c r="D10" s="175" t="s">
        <v>1169</v>
      </c>
      <c r="E10" s="183" t="s">
        <v>1127</v>
      </c>
      <c r="F10" s="184" t="s">
        <v>1127</v>
      </c>
      <c r="G10" s="184" t="s">
        <v>1127</v>
      </c>
      <c r="H10" s="184" t="s">
        <v>1127</v>
      </c>
      <c r="I10" s="184" t="s">
        <v>1127</v>
      </c>
    </row>
    <row r="11" spans="1:9">
      <c r="A11" s="421"/>
      <c r="B11" s="421"/>
      <c r="C11" s="177"/>
      <c r="D11" s="175" t="s">
        <v>664</v>
      </c>
      <c r="E11" s="183">
        <v>15</v>
      </c>
      <c r="F11" s="184">
        <v>26</v>
      </c>
      <c r="G11" s="184">
        <v>26</v>
      </c>
      <c r="H11" s="184">
        <v>43</v>
      </c>
      <c r="I11" s="184">
        <v>29</v>
      </c>
    </row>
    <row r="12" spans="1:9">
      <c r="A12" s="421"/>
      <c r="B12" s="421"/>
      <c r="C12" s="177"/>
      <c r="D12" s="175" t="s">
        <v>1616</v>
      </c>
      <c r="E12" s="183">
        <v>17</v>
      </c>
      <c r="F12" s="184">
        <v>19</v>
      </c>
      <c r="G12" s="184">
        <v>16</v>
      </c>
      <c r="H12" s="184" t="s">
        <v>1127</v>
      </c>
      <c r="I12" s="184" t="s">
        <v>1127</v>
      </c>
    </row>
    <row r="13" spans="1:9">
      <c r="A13" s="421"/>
      <c r="B13" s="455" t="s">
        <v>642</v>
      </c>
      <c r="C13" s="26" t="s">
        <v>665</v>
      </c>
      <c r="D13" s="431"/>
      <c r="E13" s="34">
        <f>SUM(E14:E15)</f>
        <v>65</v>
      </c>
      <c r="F13" s="28">
        <f>SUM(F14:F15)</f>
        <v>70</v>
      </c>
      <c r="G13" s="28">
        <f>SUM(G14:G15)</f>
        <v>75</v>
      </c>
      <c r="H13" s="28">
        <f>SUM(H14:H15)</f>
        <v>70</v>
      </c>
      <c r="I13" s="28">
        <f>SUM(I14:I15)</f>
        <v>68</v>
      </c>
    </row>
    <row r="14" spans="1:9" ht="15.75" customHeight="1">
      <c r="A14" s="421"/>
      <c r="B14" s="421"/>
      <c r="C14" s="177"/>
      <c r="D14" s="434" t="s">
        <v>666</v>
      </c>
      <c r="E14" s="183">
        <v>46</v>
      </c>
      <c r="F14" s="184">
        <v>51</v>
      </c>
      <c r="G14" s="184">
        <v>57</v>
      </c>
      <c r="H14" s="184">
        <v>51</v>
      </c>
      <c r="I14" s="184">
        <v>50</v>
      </c>
    </row>
    <row r="15" spans="1:9">
      <c r="A15" s="421"/>
      <c r="B15" s="421"/>
      <c r="C15" s="177"/>
      <c r="D15" s="175" t="s">
        <v>667</v>
      </c>
      <c r="E15" s="183">
        <v>19</v>
      </c>
      <c r="F15" s="184">
        <v>19</v>
      </c>
      <c r="G15" s="184">
        <v>18</v>
      </c>
      <c r="H15" s="184">
        <v>19</v>
      </c>
      <c r="I15" s="184">
        <v>18</v>
      </c>
    </row>
    <row r="16" spans="1:9" ht="27" customHeight="1">
      <c r="A16" s="421"/>
      <c r="B16" s="407" t="s">
        <v>643</v>
      </c>
      <c r="C16" s="1337" t="s">
        <v>197</v>
      </c>
      <c r="D16" s="1338"/>
      <c r="E16" s="34">
        <v>60</v>
      </c>
      <c r="F16" s="28">
        <v>76</v>
      </c>
      <c r="G16" s="28">
        <v>73</v>
      </c>
      <c r="H16" s="28">
        <v>52</v>
      </c>
      <c r="I16" s="28">
        <v>42</v>
      </c>
    </row>
    <row r="17" spans="1:9">
      <c r="A17" s="169" t="s">
        <v>943</v>
      </c>
      <c r="B17" s="1356" t="s">
        <v>1498</v>
      </c>
      <c r="C17" s="1357"/>
      <c r="D17" s="1358"/>
      <c r="E17" s="34">
        <f>E18+E25+E28</f>
        <v>542</v>
      </c>
      <c r="F17" s="28">
        <f>F18+F25+F28</f>
        <v>569</v>
      </c>
      <c r="G17" s="28">
        <f>G18+G25+G28</f>
        <v>582</v>
      </c>
      <c r="H17" s="28">
        <f>H18+H25+H28</f>
        <v>593</v>
      </c>
      <c r="I17" s="28">
        <f>I18+I25+I28</f>
        <v>608</v>
      </c>
    </row>
    <row r="18" spans="1:9">
      <c r="A18" s="421"/>
      <c r="B18" s="455" t="s">
        <v>644</v>
      </c>
      <c r="C18" s="26" t="s">
        <v>668</v>
      </c>
      <c r="D18" s="431"/>
      <c r="E18" s="34">
        <f>SUM(E19:E24)</f>
        <v>468</v>
      </c>
      <c r="F18" s="28">
        <f>SUM(F19:F24)</f>
        <v>499</v>
      </c>
      <c r="G18" s="28">
        <f>SUM(G19:G24)</f>
        <v>498</v>
      </c>
      <c r="H18" s="28">
        <f>SUM(H19:H24)</f>
        <v>516</v>
      </c>
      <c r="I18" s="28">
        <f>SUM(I19:I24)</f>
        <v>529</v>
      </c>
    </row>
    <row r="19" spans="1:9" ht="25.5">
      <c r="A19" s="421"/>
      <c r="B19" s="421"/>
      <c r="C19" s="177"/>
      <c r="D19" s="434" t="s">
        <v>1170</v>
      </c>
      <c r="E19" s="183">
        <v>240</v>
      </c>
      <c r="F19" s="184">
        <v>240</v>
      </c>
      <c r="G19" s="184">
        <v>190</v>
      </c>
      <c r="H19" s="184">
        <v>218</v>
      </c>
      <c r="I19" s="184">
        <v>204</v>
      </c>
    </row>
    <row r="20" spans="1:9">
      <c r="A20" s="421"/>
      <c r="B20" s="421"/>
      <c r="C20" s="177"/>
      <c r="D20" s="175" t="s">
        <v>1171</v>
      </c>
      <c r="E20" s="183">
        <v>182</v>
      </c>
      <c r="F20" s="184">
        <v>160</v>
      </c>
      <c r="G20" s="184">
        <v>204</v>
      </c>
      <c r="H20" s="184">
        <v>196</v>
      </c>
      <c r="I20" s="184">
        <v>209</v>
      </c>
    </row>
    <row r="21" spans="1:9">
      <c r="A21" s="421"/>
      <c r="B21" s="421"/>
      <c r="C21" s="177"/>
      <c r="D21" s="175" t="s">
        <v>697</v>
      </c>
      <c r="E21" s="371" t="s">
        <v>1127</v>
      </c>
      <c r="F21" s="184" t="s">
        <v>1127</v>
      </c>
      <c r="G21" s="184" t="s">
        <v>1127</v>
      </c>
      <c r="H21" s="184" t="s">
        <v>1127</v>
      </c>
      <c r="I21" s="184" t="s">
        <v>1127</v>
      </c>
    </row>
    <row r="22" spans="1:9">
      <c r="A22" s="421"/>
      <c r="B22" s="421"/>
      <c r="C22" s="177"/>
      <c r="D22" s="175" t="s">
        <v>698</v>
      </c>
      <c r="E22" s="183">
        <v>42</v>
      </c>
      <c r="F22" s="184">
        <v>96</v>
      </c>
      <c r="G22" s="184">
        <v>101</v>
      </c>
      <c r="H22" s="184">
        <v>97</v>
      </c>
      <c r="I22" s="184">
        <v>113</v>
      </c>
    </row>
    <row r="23" spans="1:9">
      <c r="A23" s="421"/>
      <c r="B23" s="421"/>
      <c r="C23" s="177"/>
      <c r="D23" s="175" t="s">
        <v>700</v>
      </c>
      <c r="E23" s="183">
        <v>4</v>
      </c>
      <c r="F23" s="184">
        <v>3</v>
      </c>
      <c r="G23" s="184">
        <v>3</v>
      </c>
      <c r="H23" s="184">
        <v>5</v>
      </c>
      <c r="I23" s="184">
        <v>3</v>
      </c>
    </row>
    <row r="24" spans="1:9" ht="38.25">
      <c r="A24" s="421"/>
      <c r="B24" s="421"/>
      <c r="C24" s="177"/>
      <c r="D24" s="438" t="s">
        <v>41</v>
      </c>
      <c r="E24" s="371" t="s">
        <v>1127</v>
      </c>
      <c r="F24" s="417" t="s">
        <v>1127</v>
      </c>
      <c r="G24" s="417" t="s">
        <v>1127</v>
      </c>
      <c r="H24" s="184" t="s">
        <v>1127</v>
      </c>
      <c r="I24" s="184" t="s">
        <v>1127</v>
      </c>
    </row>
    <row r="25" spans="1:9">
      <c r="A25" s="421"/>
      <c r="B25" s="455" t="s">
        <v>642</v>
      </c>
      <c r="C25" s="26" t="s">
        <v>867</v>
      </c>
      <c r="D25" s="431"/>
      <c r="E25" s="34">
        <f>SUM(E26:E27)</f>
        <v>62</v>
      </c>
      <c r="F25" s="28">
        <f>SUM(F26:F27)</f>
        <v>57</v>
      </c>
      <c r="G25" s="28">
        <f>SUM(G26:G27)</f>
        <v>71</v>
      </c>
      <c r="H25" s="28">
        <f>SUM(H26:H27)</f>
        <v>67</v>
      </c>
      <c r="I25" s="28">
        <f>SUM(I26:I27)</f>
        <v>69</v>
      </c>
    </row>
    <row r="26" spans="1:9">
      <c r="A26" s="421"/>
      <c r="B26" s="421"/>
      <c r="C26" s="177"/>
      <c r="D26" s="175" t="s">
        <v>870</v>
      </c>
      <c r="E26" s="183">
        <v>62</v>
      </c>
      <c r="F26" s="184">
        <v>57</v>
      </c>
      <c r="G26" s="184">
        <v>71</v>
      </c>
      <c r="H26" s="184">
        <v>67</v>
      </c>
      <c r="I26" s="184">
        <v>69</v>
      </c>
    </row>
    <row r="27" spans="1:9">
      <c r="A27" s="421"/>
      <c r="B27" s="421"/>
      <c r="C27" s="177"/>
      <c r="D27" s="175" t="s">
        <v>871</v>
      </c>
      <c r="E27" s="371" t="s">
        <v>1127</v>
      </c>
      <c r="F27" s="417" t="s">
        <v>1127</v>
      </c>
      <c r="G27" s="417" t="s">
        <v>1127</v>
      </c>
      <c r="H27" s="184" t="s">
        <v>1127</v>
      </c>
      <c r="I27" s="184" t="s">
        <v>1127</v>
      </c>
    </row>
    <row r="28" spans="1:9">
      <c r="A28" s="421"/>
      <c r="B28" s="455" t="s">
        <v>643</v>
      </c>
      <c r="C28" s="26" t="s">
        <v>485</v>
      </c>
      <c r="D28" s="431"/>
      <c r="E28" s="34">
        <f>SUM(E29:E33)</f>
        <v>12</v>
      </c>
      <c r="F28" s="28">
        <f>SUM(F29:F33)</f>
        <v>13</v>
      </c>
      <c r="G28" s="28">
        <f>SUM(G29:G33)</f>
        <v>13</v>
      </c>
      <c r="H28" s="28">
        <f>SUM(H29:H33)</f>
        <v>10</v>
      </c>
      <c r="I28" s="28">
        <f>SUM(I29:I33)</f>
        <v>10</v>
      </c>
    </row>
    <row r="29" spans="1:9">
      <c r="A29" s="421"/>
      <c r="B29" s="421"/>
      <c r="C29" s="177"/>
      <c r="D29" s="175" t="s">
        <v>872</v>
      </c>
      <c r="E29" s="371" t="s">
        <v>1127</v>
      </c>
      <c r="F29" s="417" t="s">
        <v>1127</v>
      </c>
      <c r="G29" s="417" t="s">
        <v>1127</v>
      </c>
      <c r="H29" s="184" t="s">
        <v>1127</v>
      </c>
      <c r="I29" s="184" t="s">
        <v>1127</v>
      </c>
    </row>
    <row r="30" spans="1:9">
      <c r="A30" s="421"/>
      <c r="B30" s="421"/>
      <c r="C30" s="177"/>
      <c r="D30" s="175" t="s">
        <v>874</v>
      </c>
      <c r="E30" s="183">
        <v>9</v>
      </c>
      <c r="F30" s="184">
        <v>10</v>
      </c>
      <c r="G30" s="184">
        <v>10</v>
      </c>
      <c r="H30" s="184">
        <v>10</v>
      </c>
      <c r="I30" s="184">
        <v>10</v>
      </c>
    </row>
    <row r="31" spans="1:9">
      <c r="A31" s="421"/>
      <c r="B31" s="421"/>
      <c r="C31" s="177"/>
      <c r="D31" s="175" t="s">
        <v>891</v>
      </c>
      <c r="E31" s="371" t="s">
        <v>1127</v>
      </c>
      <c r="F31" s="417" t="s">
        <v>1127</v>
      </c>
      <c r="G31" s="417" t="s">
        <v>1127</v>
      </c>
      <c r="H31" s="184" t="s">
        <v>1127</v>
      </c>
      <c r="I31" s="184" t="s">
        <v>1127</v>
      </c>
    </row>
    <row r="32" spans="1:9">
      <c r="A32" s="421"/>
      <c r="B32" s="421"/>
      <c r="C32" s="177"/>
      <c r="D32" s="175" t="s">
        <v>875</v>
      </c>
      <c r="E32" s="371" t="s">
        <v>1127</v>
      </c>
      <c r="F32" s="417" t="s">
        <v>1127</v>
      </c>
      <c r="G32" s="417" t="s">
        <v>1127</v>
      </c>
      <c r="H32" s="184" t="s">
        <v>1127</v>
      </c>
      <c r="I32" s="184" t="s">
        <v>1127</v>
      </c>
    </row>
    <row r="33" spans="1:9">
      <c r="A33" s="421"/>
      <c r="B33" s="421"/>
      <c r="C33" s="177"/>
      <c r="D33" s="427" t="s">
        <v>890</v>
      </c>
      <c r="E33" s="183">
        <v>3</v>
      </c>
      <c r="F33" s="184">
        <v>3</v>
      </c>
      <c r="G33" s="184">
        <v>3</v>
      </c>
      <c r="H33" s="184" t="s">
        <v>1127</v>
      </c>
      <c r="I33" s="184" t="s">
        <v>1127</v>
      </c>
    </row>
    <row r="34" spans="1:9">
      <c r="A34" s="285" t="s">
        <v>944</v>
      </c>
      <c r="B34" s="1347" t="s">
        <v>1499</v>
      </c>
      <c r="C34" s="1348"/>
      <c r="D34" s="1349"/>
      <c r="E34" s="371" t="s">
        <v>1127</v>
      </c>
      <c r="F34" s="194" t="s">
        <v>1127</v>
      </c>
      <c r="G34" s="194" t="s">
        <v>1127</v>
      </c>
      <c r="H34" s="194" t="s">
        <v>1127</v>
      </c>
      <c r="I34" s="194" t="s">
        <v>1127</v>
      </c>
    </row>
    <row r="35" spans="1:9">
      <c r="A35" s="440"/>
      <c r="B35" s="1363" t="s">
        <v>439</v>
      </c>
      <c r="C35" s="1363"/>
      <c r="D35" s="1364"/>
      <c r="E35" s="179">
        <f>SUM(E7,E17,E34)</f>
        <v>701</v>
      </c>
      <c r="F35" s="208">
        <f>SUM(F7,F17,F34)</f>
        <v>762</v>
      </c>
      <c r="G35" s="179">
        <f>SUM(G7,G17,G34)</f>
        <v>774</v>
      </c>
      <c r="H35" s="179">
        <f>SUM(H7,H17,H34)</f>
        <v>760</v>
      </c>
      <c r="I35" s="179">
        <f>SUM(I7,I17,I34)</f>
        <v>749</v>
      </c>
    </row>
    <row r="36" spans="1:9">
      <c r="A36" s="268"/>
      <c r="B36" s="268"/>
      <c r="C36" s="268"/>
      <c r="D36" s="268"/>
      <c r="E36" s="268"/>
      <c r="F36" s="405"/>
      <c r="H36" s="453"/>
      <c r="I36" s="735" t="s">
        <v>863</v>
      </c>
    </row>
    <row r="37" spans="1:9">
      <c r="A37" s="268"/>
      <c r="B37" s="268"/>
      <c r="C37" s="268"/>
      <c r="D37" s="268"/>
      <c r="E37" s="268"/>
      <c r="F37" s="21"/>
      <c r="G37" s="442"/>
      <c r="H37" s="442"/>
      <c r="I37" s="442"/>
    </row>
    <row r="38" spans="1:9">
      <c r="A38" s="268"/>
      <c r="B38" s="268"/>
      <c r="C38" s="268"/>
      <c r="D38" s="268"/>
      <c r="E38" s="268"/>
      <c r="F38" s="21"/>
      <c r="G38" s="442"/>
      <c r="H38" s="442"/>
      <c r="I38" s="442"/>
    </row>
    <row r="39" spans="1:9">
      <c r="A39" s="268"/>
      <c r="B39" s="268"/>
      <c r="C39" s="268"/>
      <c r="D39" s="268"/>
      <c r="E39" s="268"/>
      <c r="F39" s="268"/>
      <c r="G39" s="268"/>
      <c r="H39" s="268"/>
      <c r="I39" s="268"/>
    </row>
    <row r="40" spans="1:9">
      <c r="A40" s="268"/>
      <c r="B40" s="268"/>
      <c r="C40" s="268"/>
      <c r="D40" s="268"/>
      <c r="E40" s="268"/>
      <c r="F40" s="268"/>
      <c r="G40" s="268"/>
      <c r="H40" s="268"/>
      <c r="I40" s="268"/>
    </row>
    <row r="41" spans="1:9">
      <c r="A41" s="268"/>
      <c r="B41" s="268"/>
      <c r="C41" s="268"/>
      <c r="D41" s="268"/>
      <c r="E41" s="268"/>
      <c r="F41" s="268"/>
      <c r="G41" s="268"/>
      <c r="H41" s="268"/>
      <c r="I41" s="268"/>
    </row>
    <row r="42" spans="1:9">
      <c r="A42" s="268"/>
      <c r="B42" s="268"/>
      <c r="C42" s="268"/>
      <c r="D42" s="268"/>
      <c r="E42" s="268"/>
      <c r="F42" s="268"/>
      <c r="G42" s="268"/>
      <c r="H42" s="268"/>
      <c r="I42" s="268"/>
    </row>
    <row r="43" spans="1:9">
      <c r="A43" s="268"/>
      <c r="B43" s="268"/>
      <c r="C43" s="268"/>
      <c r="D43" s="268"/>
      <c r="E43" s="268"/>
      <c r="F43" s="268"/>
      <c r="G43" s="268"/>
      <c r="H43" s="268"/>
      <c r="I43" s="268"/>
    </row>
    <row r="44" spans="1:9">
      <c r="A44" s="268"/>
      <c r="B44" s="268"/>
      <c r="C44" s="268"/>
      <c r="D44" s="268"/>
      <c r="E44" s="268"/>
      <c r="F44" s="268"/>
      <c r="G44" s="268"/>
      <c r="H44" s="268"/>
      <c r="I44" s="268"/>
    </row>
    <row r="45" spans="1:9">
      <c r="A45" s="268"/>
      <c r="B45" s="268"/>
      <c r="C45" s="268"/>
      <c r="D45" s="268"/>
      <c r="E45" s="268"/>
      <c r="F45" s="268"/>
      <c r="G45" s="268"/>
      <c r="H45" s="268"/>
      <c r="I45" s="268"/>
    </row>
    <row r="46" spans="1:9">
      <c r="A46" s="268"/>
      <c r="B46" s="268"/>
      <c r="C46" s="268"/>
      <c r="D46" s="268"/>
      <c r="E46" s="268"/>
      <c r="F46" s="268"/>
      <c r="G46" s="268"/>
      <c r="H46" s="268"/>
      <c r="I46" s="268"/>
    </row>
  </sheetData>
  <mergeCells count="10">
    <mergeCell ref="B34:D34"/>
    <mergeCell ref="B35:D35"/>
    <mergeCell ref="A4:D5"/>
    <mergeCell ref="B17:D17"/>
    <mergeCell ref="E4:I4"/>
    <mergeCell ref="A1:I1"/>
    <mergeCell ref="C16:D16"/>
    <mergeCell ref="A2:I2"/>
    <mergeCell ref="A6:D6"/>
    <mergeCell ref="B7:D7"/>
  </mergeCells>
  <phoneticPr fontId="0" type="noConversion"/>
  <conditionalFormatting sqref="A1:XFD1048576">
    <cfRule type="cellIs" dxfId="11" priority="1" stopIfTrue="1" operator="equal">
      <formula>".."</formula>
    </cfRule>
  </conditionalFormatting>
  <printOptions horizontalCentered="1" verticalCentered="1"/>
  <pageMargins left="0.1" right="0.1" top="0.1" bottom="0.1" header="0.5" footer="0.1"/>
  <pageSetup paperSize="9" orientation="landscape" r:id="rId1"/>
  <headerFooter alignWithMargins="0"/>
</worksheet>
</file>

<file path=xl/worksheets/sheet35.xml><?xml version="1.0" encoding="utf-8"?>
<worksheet xmlns="http://schemas.openxmlformats.org/spreadsheetml/2006/main" xmlns:r="http://schemas.openxmlformats.org/officeDocument/2006/relationships">
  <sheetPr codeName="Sheet34"/>
  <dimension ref="A1:G30"/>
  <sheetViews>
    <sheetView workbookViewId="0">
      <selection activeCell="M30" sqref="M30"/>
    </sheetView>
  </sheetViews>
  <sheetFormatPr defaultRowHeight="12.75"/>
  <cols>
    <col min="1" max="1" width="3.140625" style="172" customWidth="1"/>
    <col min="2" max="2" width="45.140625" style="172" customWidth="1"/>
    <col min="3" max="7" width="14.7109375" style="172" customWidth="1"/>
    <col min="8" max="16384" width="9.140625" style="172"/>
  </cols>
  <sheetData>
    <row r="1" spans="1:7" ht="13.5" customHeight="1">
      <c r="A1" s="1181" t="s">
        <v>1579</v>
      </c>
      <c r="B1" s="1181"/>
      <c r="C1" s="1181"/>
      <c r="D1" s="1181"/>
      <c r="E1" s="1181"/>
      <c r="F1" s="1181"/>
      <c r="G1" s="1181"/>
    </row>
    <row r="2" spans="1:7" s="206" customFormat="1" ht="31.5" customHeight="1">
      <c r="A2" s="1226" t="str">
        <f>CONCATENATE("Teachers in different type of Special and Non-formal Educational Institutions 
in the district of ",District!A1)</f>
        <v>Teachers in different type of Special and Non-formal Educational Institutions 
in the district of Bankura</v>
      </c>
      <c r="B2" s="1226"/>
      <c r="C2" s="1226"/>
      <c r="D2" s="1226"/>
      <c r="E2" s="1226"/>
      <c r="F2" s="1226"/>
      <c r="G2" s="1226"/>
    </row>
    <row r="3" spans="1:7" ht="15.95" customHeight="1">
      <c r="A3" s="259"/>
      <c r="B3" s="260"/>
      <c r="C3" s="260"/>
      <c r="D3" s="260"/>
      <c r="E3" s="260"/>
      <c r="F3" s="260"/>
      <c r="G3" s="114" t="s">
        <v>452</v>
      </c>
    </row>
    <row r="4" spans="1:7" ht="15.95" customHeight="1">
      <c r="A4" s="1186" t="s">
        <v>736</v>
      </c>
      <c r="B4" s="1184"/>
      <c r="C4" s="1193" t="s">
        <v>304</v>
      </c>
      <c r="D4" s="1191"/>
      <c r="E4" s="1191"/>
      <c r="F4" s="1191"/>
      <c r="G4" s="1192"/>
    </row>
    <row r="5" spans="1:7" ht="15.95" customHeight="1">
      <c r="A5" s="1242"/>
      <c r="B5" s="1185"/>
      <c r="C5" s="471" t="str">
        <f>District!B11</f>
        <v>2009-10</v>
      </c>
      <c r="D5" s="553" t="str">
        <f>District!C11</f>
        <v>2010-11</v>
      </c>
      <c r="E5" s="471" t="str">
        <f>District!D11</f>
        <v>2011-12</v>
      </c>
      <c r="F5" s="553" t="str">
        <f>District!E11</f>
        <v>2012-13</v>
      </c>
      <c r="G5" s="471" t="str">
        <f>District!F11</f>
        <v>2013-14</v>
      </c>
    </row>
    <row r="6" spans="1:7" ht="15.95" customHeight="1">
      <c r="A6" s="1201" t="s">
        <v>418</v>
      </c>
      <c r="B6" s="1257"/>
      <c r="C6" s="213" t="s">
        <v>419</v>
      </c>
      <c r="D6" s="213" t="s">
        <v>420</v>
      </c>
      <c r="E6" s="213" t="s">
        <v>421</v>
      </c>
      <c r="F6" s="213" t="s">
        <v>422</v>
      </c>
      <c r="G6" s="214" t="s">
        <v>423</v>
      </c>
    </row>
    <row r="7" spans="1:7" ht="20.25" customHeight="1">
      <c r="A7" s="264" t="s">
        <v>1624</v>
      </c>
      <c r="B7" s="197" t="s">
        <v>892</v>
      </c>
      <c r="C7" s="183">
        <v>880</v>
      </c>
      <c r="D7" s="192">
        <v>894</v>
      </c>
      <c r="E7" s="192">
        <v>892</v>
      </c>
      <c r="F7" s="192">
        <v>888</v>
      </c>
      <c r="G7" s="192">
        <v>876</v>
      </c>
    </row>
    <row r="8" spans="1:7" ht="20.25" customHeight="1">
      <c r="A8" s="83">
        <v>2</v>
      </c>
      <c r="B8" s="203" t="s">
        <v>857</v>
      </c>
      <c r="C8" s="183">
        <v>391</v>
      </c>
      <c r="D8" s="184">
        <v>395</v>
      </c>
      <c r="E8" s="184">
        <v>382</v>
      </c>
      <c r="F8" s="184">
        <v>379</v>
      </c>
      <c r="G8" s="184">
        <v>363</v>
      </c>
    </row>
    <row r="9" spans="1:7" ht="20.25" customHeight="1">
      <c r="A9" s="83">
        <v>3</v>
      </c>
      <c r="B9" s="203" t="s">
        <v>904</v>
      </c>
      <c r="C9" s="371" t="s">
        <v>1127</v>
      </c>
      <c r="D9" s="184" t="s">
        <v>1127</v>
      </c>
      <c r="E9" s="184" t="s">
        <v>1127</v>
      </c>
      <c r="F9" s="184" t="s">
        <v>1127</v>
      </c>
      <c r="G9" s="184" t="s">
        <v>1127</v>
      </c>
    </row>
    <row r="10" spans="1:7" ht="20.25" customHeight="1">
      <c r="A10" s="83">
        <v>4</v>
      </c>
      <c r="B10" s="203" t="s">
        <v>858</v>
      </c>
      <c r="C10" s="33">
        <v>20</v>
      </c>
      <c r="D10" s="39">
        <v>22</v>
      </c>
      <c r="E10" s="39">
        <v>22</v>
      </c>
      <c r="F10" s="39">
        <v>31</v>
      </c>
      <c r="G10" s="39">
        <v>53</v>
      </c>
    </row>
    <row r="11" spans="1:7" ht="20.25" customHeight="1">
      <c r="A11" s="83">
        <v>5</v>
      </c>
      <c r="B11" s="203" t="s">
        <v>915</v>
      </c>
      <c r="C11" s="183">
        <v>20</v>
      </c>
      <c r="D11" s="184">
        <v>25</v>
      </c>
      <c r="E11" s="184">
        <v>25</v>
      </c>
      <c r="F11" s="184">
        <v>24</v>
      </c>
      <c r="G11" s="184">
        <v>25</v>
      </c>
    </row>
    <row r="12" spans="1:7" ht="20.25" customHeight="1">
      <c r="A12" s="83">
        <v>6</v>
      </c>
      <c r="B12" s="203" t="s">
        <v>905</v>
      </c>
      <c r="C12" s="183">
        <v>20</v>
      </c>
      <c r="D12" s="184">
        <v>17</v>
      </c>
      <c r="E12" s="184">
        <v>18</v>
      </c>
      <c r="F12" s="184">
        <v>16</v>
      </c>
      <c r="G12" s="184">
        <v>16</v>
      </c>
    </row>
    <row r="13" spans="1:7" ht="28.5" customHeight="1">
      <c r="A13" s="422">
        <v>7</v>
      </c>
      <c r="B13" s="199" t="s">
        <v>864</v>
      </c>
      <c r="C13" s="183">
        <v>38</v>
      </c>
      <c r="D13" s="184">
        <v>25</v>
      </c>
      <c r="E13" s="184">
        <v>35</v>
      </c>
      <c r="F13" s="184">
        <v>29</v>
      </c>
      <c r="G13" s="184">
        <v>37</v>
      </c>
    </row>
    <row r="14" spans="1:7" ht="21" customHeight="1">
      <c r="A14" s="83">
        <v>8</v>
      </c>
      <c r="B14" s="203" t="s">
        <v>909</v>
      </c>
      <c r="C14" s="371" t="s">
        <v>1127</v>
      </c>
      <c r="D14" s="184" t="s">
        <v>1127</v>
      </c>
      <c r="E14" s="184" t="s">
        <v>1127</v>
      </c>
      <c r="F14" s="184" t="s">
        <v>1127</v>
      </c>
      <c r="G14" s="184" t="s">
        <v>1127</v>
      </c>
    </row>
    <row r="15" spans="1:7" ht="21" customHeight="1">
      <c r="A15" s="83">
        <v>9</v>
      </c>
      <c r="B15" s="203" t="s">
        <v>910</v>
      </c>
      <c r="C15" s="183">
        <v>4467</v>
      </c>
      <c r="D15" s="184">
        <v>4900</v>
      </c>
      <c r="E15" s="184">
        <v>4971</v>
      </c>
      <c r="F15" s="184">
        <v>4969</v>
      </c>
      <c r="G15" s="184">
        <v>4935</v>
      </c>
    </row>
    <row r="16" spans="1:7" ht="21" customHeight="1">
      <c r="A16" s="83">
        <v>10</v>
      </c>
      <c r="B16" s="203" t="s">
        <v>809</v>
      </c>
      <c r="C16" s="183">
        <v>8</v>
      </c>
      <c r="D16" s="184">
        <v>10</v>
      </c>
      <c r="E16" s="184">
        <v>12</v>
      </c>
      <c r="F16" s="184">
        <v>8</v>
      </c>
      <c r="G16" s="184">
        <v>8</v>
      </c>
    </row>
    <row r="17" spans="1:7" ht="43.5" customHeight="1">
      <c r="A17" s="422">
        <v>11</v>
      </c>
      <c r="B17" s="199" t="s">
        <v>195</v>
      </c>
      <c r="C17" s="183">
        <v>5</v>
      </c>
      <c r="D17" s="184">
        <v>4</v>
      </c>
      <c r="E17" s="184">
        <v>4</v>
      </c>
      <c r="F17" s="184">
        <v>4</v>
      </c>
      <c r="G17" s="184">
        <v>4</v>
      </c>
    </row>
    <row r="18" spans="1:7" ht="21" customHeight="1">
      <c r="A18" s="181">
        <v>12</v>
      </c>
      <c r="B18" s="203" t="s">
        <v>1618</v>
      </c>
      <c r="C18" s="183">
        <v>45</v>
      </c>
      <c r="D18" s="184">
        <v>45</v>
      </c>
      <c r="E18" s="184" t="s">
        <v>199</v>
      </c>
      <c r="F18" s="184">
        <v>65</v>
      </c>
      <c r="G18" s="184">
        <v>43</v>
      </c>
    </row>
    <row r="19" spans="1:7" ht="18" customHeight="1">
      <c r="A19" s="1305" t="s">
        <v>439</v>
      </c>
      <c r="B19" s="1199"/>
      <c r="C19" s="179">
        <f>SUM(C7:C18)</f>
        <v>5894</v>
      </c>
      <c r="D19" s="179">
        <f>SUM(D7:D18)</f>
        <v>6337</v>
      </c>
      <c r="E19" s="180">
        <f>SUM(E7:E18)</f>
        <v>6361</v>
      </c>
      <c r="F19" s="180">
        <f>SUM(F7:F18)+100</f>
        <v>6513</v>
      </c>
      <c r="G19" s="180">
        <f>SUM(G7:G18)</f>
        <v>6360</v>
      </c>
    </row>
    <row r="20" spans="1:7">
      <c r="A20" s="516" t="s">
        <v>198</v>
      </c>
      <c r="B20" s="266"/>
      <c r="C20" s="266"/>
      <c r="D20" s="718" t="s">
        <v>610</v>
      </c>
      <c r="E20" s="726" t="s">
        <v>911</v>
      </c>
      <c r="F20" s="266"/>
      <c r="G20" s="266"/>
    </row>
    <row r="21" spans="1:7">
      <c r="A21" s="266"/>
      <c r="B21" s="266"/>
      <c r="C21" s="266"/>
      <c r="D21" s="516"/>
      <c r="E21" s="726" t="s">
        <v>862</v>
      </c>
      <c r="F21" s="266"/>
      <c r="G21" s="55"/>
    </row>
    <row r="22" spans="1:7">
      <c r="A22" s="266"/>
      <c r="B22" s="266"/>
      <c r="C22" s="266"/>
      <c r="D22" s="516"/>
      <c r="E22" s="726" t="s">
        <v>1248</v>
      </c>
      <c r="F22" s="266"/>
      <c r="G22" s="55"/>
    </row>
    <row r="23" spans="1:7">
      <c r="A23" s="266"/>
      <c r="B23" s="266"/>
      <c r="C23" s="266"/>
      <c r="D23" s="516"/>
      <c r="E23" s="726" t="s">
        <v>1342</v>
      </c>
      <c r="F23" s="266"/>
      <c r="G23" s="55"/>
    </row>
    <row r="24" spans="1:7">
      <c r="A24" s="266"/>
      <c r="B24" s="266"/>
      <c r="C24" s="266"/>
      <c r="D24" s="516"/>
      <c r="E24" s="726" t="s">
        <v>811</v>
      </c>
      <c r="F24" s="266"/>
      <c r="G24" s="55"/>
    </row>
    <row r="25" spans="1:7">
      <c r="A25" s="266"/>
      <c r="B25" s="266"/>
      <c r="C25" s="266"/>
      <c r="D25" s="516"/>
      <c r="E25" s="726" t="s">
        <v>1343</v>
      </c>
      <c r="F25" s="266"/>
      <c r="G25" s="55"/>
    </row>
    <row r="26" spans="1:7">
      <c r="A26" s="266"/>
      <c r="B26" s="266"/>
      <c r="C26" s="266"/>
      <c r="D26" s="516"/>
      <c r="E26" s="712" t="s">
        <v>327</v>
      </c>
      <c r="F26" s="266"/>
      <c r="G26" s="55"/>
    </row>
    <row r="27" spans="1:7">
      <c r="A27" s="266"/>
      <c r="B27" s="266"/>
      <c r="C27" s="266"/>
      <c r="D27" s="712"/>
      <c r="E27" s="726" t="s">
        <v>1361</v>
      </c>
      <c r="F27" s="266"/>
      <c r="G27" s="266"/>
    </row>
    <row r="28" spans="1:7">
      <c r="A28" s="266"/>
      <c r="B28" s="266"/>
      <c r="C28" s="266"/>
      <c r="D28" s="516"/>
      <c r="E28" s="726" t="s">
        <v>812</v>
      </c>
      <c r="F28" s="266"/>
      <c r="G28" s="55"/>
    </row>
    <row r="29" spans="1:7">
      <c r="F29" s="21"/>
      <c r="G29" s="2"/>
    </row>
    <row r="30" spans="1:7">
      <c r="D30" s="268"/>
    </row>
  </sheetData>
  <mergeCells count="6">
    <mergeCell ref="A1:G1"/>
    <mergeCell ref="A19:B19"/>
    <mergeCell ref="A2:G2"/>
    <mergeCell ref="A6:B6"/>
    <mergeCell ref="A4:B5"/>
    <mergeCell ref="C4:G4"/>
  </mergeCells>
  <phoneticPr fontId="0" type="noConversion"/>
  <conditionalFormatting sqref="C5:G5">
    <cfRule type="cellIs" dxfId="10" priority="1" stopIfTrue="1" operator="equal">
      <formula>".."</formula>
    </cfRule>
  </conditionalFormatting>
  <printOptions horizontalCentered="1" verticalCentered="1"/>
  <pageMargins left="0.1" right="0.1" top="0.1" bottom="0.1" header="0.8" footer="0.1"/>
  <pageSetup paperSize="9" orientation="landscape" r:id="rId1"/>
  <headerFooter alignWithMargins="0"/>
</worksheet>
</file>

<file path=xl/worksheets/sheet36.xml><?xml version="1.0" encoding="utf-8"?>
<worksheet xmlns="http://schemas.openxmlformats.org/spreadsheetml/2006/main" xmlns:r="http://schemas.openxmlformats.org/officeDocument/2006/relationships">
  <sheetPr codeName="Sheet44"/>
  <dimension ref="A1:AD41"/>
  <sheetViews>
    <sheetView topLeftCell="D1" workbookViewId="0">
      <selection activeCell="M30" sqref="M30"/>
    </sheetView>
  </sheetViews>
  <sheetFormatPr defaultRowHeight="12.75"/>
  <cols>
    <col min="1" max="1" width="22.7109375" style="46" customWidth="1"/>
    <col min="2" max="13" width="9.5703125" style="46" customWidth="1"/>
    <col min="14" max="14" width="21.7109375" style="46" customWidth="1"/>
    <col min="15" max="23" width="11.7109375" style="46" customWidth="1"/>
    <col min="24" max="16384" width="9.140625" style="46"/>
  </cols>
  <sheetData>
    <row r="1" spans="1:30" ht="13.5" customHeight="1">
      <c r="A1" s="1229" t="s">
        <v>752</v>
      </c>
      <c r="B1" s="1229"/>
      <c r="C1" s="1229"/>
      <c r="D1" s="1229"/>
      <c r="E1" s="1229"/>
      <c r="F1" s="1229"/>
      <c r="G1" s="1229"/>
      <c r="H1" s="1229"/>
      <c r="I1" s="1229"/>
      <c r="J1" s="1229"/>
      <c r="K1" s="1229"/>
      <c r="L1" s="1229"/>
      <c r="M1" s="1229"/>
      <c r="N1" s="12"/>
    </row>
    <row r="2" spans="1:30" ht="18" customHeight="1">
      <c r="A2" s="1231" t="str">
        <f>CONCATENATE("Institutions, Students &amp; Teachers by Block and Municipality in the district of ",District!A1," for the year ",District!B3)</f>
        <v>Institutions, Students &amp; Teachers by Block and Municipality in the district of Bankura for the year 2013-14</v>
      </c>
      <c r="B2" s="1231"/>
      <c r="C2" s="1231"/>
      <c r="D2" s="1231"/>
      <c r="E2" s="1231"/>
      <c r="F2" s="1231"/>
      <c r="G2" s="1231"/>
      <c r="H2" s="1231"/>
      <c r="I2" s="1231"/>
      <c r="J2" s="1231"/>
      <c r="K2" s="1231"/>
      <c r="L2" s="1231"/>
      <c r="M2" s="1231"/>
      <c r="N2" s="1229" t="s">
        <v>1578</v>
      </c>
      <c r="O2" s="1229"/>
      <c r="P2" s="1229"/>
      <c r="Q2" s="1229"/>
      <c r="R2" s="1229"/>
      <c r="S2" s="1229"/>
      <c r="T2" s="1229"/>
      <c r="U2" s="1229"/>
      <c r="V2" s="1229"/>
      <c r="W2" s="1229"/>
      <c r="X2" s="12"/>
      <c r="Y2" s="12"/>
      <c r="Z2" s="12"/>
      <c r="AA2" s="12"/>
      <c r="AB2" s="12"/>
      <c r="AC2" s="12"/>
      <c r="AD2" s="12"/>
    </row>
    <row r="3" spans="1:30">
      <c r="L3" s="1365" t="s">
        <v>452</v>
      </c>
      <c r="M3" s="1365"/>
      <c r="V3" s="1365" t="s">
        <v>452</v>
      </c>
      <c r="W3" s="1365"/>
    </row>
    <row r="4" spans="1:30" ht="27.75" customHeight="1">
      <c r="A4" s="1194" t="s">
        <v>1537</v>
      </c>
      <c r="B4" s="1237" t="s">
        <v>274</v>
      </c>
      <c r="C4" s="1239"/>
      <c r="D4" s="1238"/>
      <c r="E4" s="1239" t="s">
        <v>275</v>
      </c>
      <c r="F4" s="1239"/>
      <c r="G4" s="1238"/>
      <c r="H4" s="1237" t="s">
        <v>276</v>
      </c>
      <c r="I4" s="1239"/>
      <c r="J4" s="1238"/>
      <c r="K4" s="1237" t="s">
        <v>279</v>
      </c>
      <c r="L4" s="1239"/>
      <c r="M4" s="1238"/>
      <c r="N4" s="1194" t="s">
        <v>1537</v>
      </c>
      <c r="O4" s="1237" t="s">
        <v>916</v>
      </c>
      <c r="P4" s="1239"/>
      <c r="Q4" s="1238"/>
      <c r="R4" s="1237" t="s">
        <v>357</v>
      </c>
      <c r="S4" s="1239"/>
      <c r="T4" s="1238"/>
      <c r="U4" s="1237" t="s">
        <v>917</v>
      </c>
      <c r="V4" s="1239"/>
      <c r="W4" s="1238"/>
    </row>
    <row r="5" spans="1:30" ht="18" customHeight="1">
      <c r="A5" s="1195"/>
      <c r="B5" s="230" t="s">
        <v>384</v>
      </c>
      <c r="C5" s="232" t="s">
        <v>385</v>
      </c>
      <c r="D5" s="231" t="s">
        <v>386</v>
      </c>
      <c r="E5" s="232" t="s">
        <v>384</v>
      </c>
      <c r="F5" s="232" t="s">
        <v>385</v>
      </c>
      <c r="G5" s="231" t="s">
        <v>386</v>
      </c>
      <c r="H5" s="230" t="s">
        <v>384</v>
      </c>
      <c r="I5" s="232" t="s">
        <v>385</v>
      </c>
      <c r="J5" s="231" t="s">
        <v>386</v>
      </c>
      <c r="K5" s="230" t="s">
        <v>384</v>
      </c>
      <c r="L5" s="232" t="s">
        <v>385</v>
      </c>
      <c r="M5" s="231" t="s">
        <v>386</v>
      </c>
      <c r="N5" s="1195"/>
      <c r="O5" s="230" t="s">
        <v>384</v>
      </c>
      <c r="P5" s="232" t="s">
        <v>385</v>
      </c>
      <c r="Q5" s="231" t="s">
        <v>386</v>
      </c>
      <c r="R5" s="230" t="s">
        <v>384</v>
      </c>
      <c r="S5" s="232" t="s">
        <v>385</v>
      </c>
      <c r="T5" s="231" t="s">
        <v>386</v>
      </c>
      <c r="U5" s="230" t="s">
        <v>384</v>
      </c>
      <c r="V5" s="232" t="s">
        <v>385</v>
      </c>
      <c r="W5" s="231" t="s">
        <v>386</v>
      </c>
    </row>
    <row r="6" spans="1:30" ht="14.25" customHeight="1">
      <c r="A6" s="221" t="s">
        <v>418</v>
      </c>
      <c r="B6" s="221" t="s">
        <v>419</v>
      </c>
      <c r="C6" s="222" t="s">
        <v>420</v>
      </c>
      <c r="D6" s="214" t="s">
        <v>421</v>
      </c>
      <c r="E6" s="221" t="s">
        <v>422</v>
      </c>
      <c r="F6" s="222" t="s">
        <v>423</v>
      </c>
      <c r="G6" s="214" t="s">
        <v>424</v>
      </c>
      <c r="H6" s="221" t="s">
        <v>440</v>
      </c>
      <c r="I6" s="222" t="s">
        <v>441</v>
      </c>
      <c r="J6" s="214" t="s">
        <v>442</v>
      </c>
      <c r="K6" s="221" t="s">
        <v>443</v>
      </c>
      <c r="L6" s="222" t="s">
        <v>537</v>
      </c>
      <c r="M6" s="214" t="s">
        <v>538</v>
      </c>
      <c r="N6" s="213" t="s">
        <v>418</v>
      </c>
      <c r="O6" s="221" t="s">
        <v>539</v>
      </c>
      <c r="P6" s="222" t="s">
        <v>540</v>
      </c>
      <c r="Q6" s="214" t="s">
        <v>542</v>
      </c>
      <c r="R6" s="221" t="s">
        <v>543</v>
      </c>
      <c r="S6" s="222" t="s">
        <v>545</v>
      </c>
      <c r="T6" s="214" t="s">
        <v>544</v>
      </c>
      <c r="U6" s="221" t="s">
        <v>918</v>
      </c>
      <c r="V6" s="222" t="s">
        <v>919</v>
      </c>
      <c r="W6" s="214" t="s">
        <v>920</v>
      </c>
    </row>
    <row r="7" spans="1:30" ht="15" customHeight="1">
      <c r="A7" s="350" t="s">
        <v>717</v>
      </c>
      <c r="B7" s="93">
        <f t="shared" ref="B7:G7" si="0">SUM(B8:B16)</f>
        <v>1371</v>
      </c>
      <c r="C7" s="275">
        <f t="shared" si="0"/>
        <v>117820</v>
      </c>
      <c r="D7" s="275">
        <f t="shared" si="0"/>
        <v>3765</v>
      </c>
      <c r="E7" s="93">
        <f t="shared" si="0"/>
        <v>144</v>
      </c>
      <c r="F7" s="275">
        <f t="shared" si="0"/>
        <v>17951</v>
      </c>
      <c r="G7" s="275">
        <f t="shared" si="0"/>
        <v>428</v>
      </c>
      <c r="H7" s="93">
        <f t="shared" ref="H7:T7" si="1">SUM(H8:H16)</f>
        <v>90</v>
      </c>
      <c r="I7" s="275">
        <f t="shared" si="1"/>
        <v>69329</v>
      </c>
      <c r="J7" s="275">
        <f t="shared" si="1"/>
        <v>1397</v>
      </c>
      <c r="K7" s="93">
        <f t="shared" si="1"/>
        <v>91</v>
      </c>
      <c r="L7" s="275">
        <f t="shared" si="1"/>
        <v>78909</v>
      </c>
      <c r="M7" s="621">
        <f t="shared" si="1"/>
        <v>1874</v>
      </c>
      <c r="N7" s="303" t="s">
        <v>717</v>
      </c>
      <c r="O7" s="93">
        <f t="shared" si="1"/>
        <v>9</v>
      </c>
      <c r="P7" s="275">
        <f t="shared" si="1"/>
        <v>14782</v>
      </c>
      <c r="Q7" s="275">
        <f t="shared" si="1"/>
        <v>233</v>
      </c>
      <c r="R7" s="93">
        <f t="shared" si="1"/>
        <v>14</v>
      </c>
      <c r="S7" s="275">
        <f t="shared" si="1"/>
        <v>2865</v>
      </c>
      <c r="T7" s="275">
        <f t="shared" si="1"/>
        <v>392</v>
      </c>
      <c r="U7" s="93">
        <f>SUM(U8:U16)</f>
        <v>2228</v>
      </c>
      <c r="V7" s="275">
        <f>SUM(V8:V16)</f>
        <v>69919</v>
      </c>
      <c r="W7" s="44">
        <f>SUM(W8:W16)</f>
        <v>2439</v>
      </c>
    </row>
    <row r="8" spans="1:30" ht="15" customHeight="1">
      <c r="A8" s="400" t="s">
        <v>596</v>
      </c>
      <c r="B8" s="90">
        <v>109</v>
      </c>
      <c r="C8" s="50">
        <v>10663</v>
      </c>
      <c r="D8" s="101">
        <v>359</v>
      </c>
      <c r="E8" s="50">
        <v>10</v>
      </c>
      <c r="F8" s="50">
        <v>1042</v>
      </c>
      <c r="G8" s="101">
        <v>37</v>
      </c>
      <c r="H8" s="54">
        <v>14</v>
      </c>
      <c r="I8" s="50">
        <v>8352</v>
      </c>
      <c r="J8" s="54">
        <v>204</v>
      </c>
      <c r="K8" s="29">
        <v>9</v>
      </c>
      <c r="L8" s="24">
        <v>9137</v>
      </c>
      <c r="M8" s="39">
        <v>194</v>
      </c>
      <c r="N8" s="395" t="s">
        <v>596</v>
      </c>
      <c r="O8" s="1007" t="s">
        <v>1127</v>
      </c>
      <c r="P8" s="54" t="s">
        <v>1127</v>
      </c>
      <c r="Q8" s="54" t="s">
        <v>1127</v>
      </c>
      <c r="R8" s="90">
        <v>1</v>
      </c>
      <c r="S8" s="54">
        <v>996</v>
      </c>
      <c r="T8" s="54">
        <v>109</v>
      </c>
      <c r="U8" s="29">
        <v>177</v>
      </c>
      <c r="V8" s="24">
        <v>4905</v>
      </c>
      <c r="W8" s="39">
        <v>183</v>
      </c>
    </row>
    <row r="9" spans="1:30" ht="15" customHeight="1">
      <c r="A9" s="400" t="s">
        <v>365</v>
      </c>
      <c r="B9" s="90">
        <v>89</v>
      </c>
      <c r="C9" s="50">
        <v>8171</v>
      </c>
      <c r="D9" s="101">
        <v>311</v>
      </c>
      <c r="E9" s="50">
        <v>3</v>
      </c>
      <c r="F9" s="50">
        <v>509</v>
      </c>
      <c r="G9" s="101">
        <v>14</v>
      </c>
      <c r="H9" s="54">
        <v>6</v>
      </c>
      <c r="I9" s="50">
        <v>6483</v>
      </c>
      <c r="J9" s="101">
        <v>160</v>
      </c>
      <c r="K9" s="90">
        <v>13</v>
      </c>
      <c r="L9" s="50">
        <v>15258</v>
      </c>
      <c r="M9" s="101">
        <v>330</v>
      </c>
      <c r="N9" s="395" t="s">
        <v>365</v>
      </c>
      <c r="O9" s="90">
        <v>3</v>
      </c>
      <c r="P9" s="50">
        <v>7173</v>
      </c>
      <c r="Q9" s="101">
        <v>141</v>
      </c>
      <c r="R9" s="90">
        <v>4</v>
      </c>
      <c r="S9" s="50">
        <v>1002</v>
      </c>
      <c r="T9" s="101">
        <v>223</v>
      </c>
      <c r="U9" s="90">
        <v>89</v>
      </c>
      <c r="V9" s="50">
        <v>5419</v>
      </c>
      <c r="W9" s="101">
        <v>162</v>
      </c>
    </row>
    <row r="10" spans="1:30" ht="15" customHeight="1">
      <c r="A10" s="400" t="s">
        <v>595</v>
      </c>
      <c r="B10" s="90">
        <v>127</v>
      </c>
      <c r="C10" s="50">
        <v>12933</v>
      </c>
      <c r="D10" s="101">
        <v>364</v>
      </c>
      <c r="E10" s="102">
        <v>6</v>
      </c>
      <c r="F10" s="54">
        <v>694</v>
      </c>
      <c r="G10" s="39">
        <v>15</v>
      </c>
      <c r="H10" s="54">
        <v>8</v>
      </c>
      <c r="I10" s="50">
        <v>7123</v>
      </c>
      <c r="J10" s="101">
        <v>191</v>
      </c>
      <c r="K10" s="90">
        <v>10</v>
      </c>
      <c r="L10" s="50">
        <v>9204</v>
      </c>
      <c r="M10" s="101">
        <v>205</v>
      </c>
      <c r="N10" s="395" t="s">
        <v>595</v>
      </c>
      <c r="O10" s="1008" t="s">
        <v>1127</v>
      </c>
      <c r="P10" s="50" t="s">
        <v>1127</v>
      </c>
      <c r="Q10" s="1009" t="s">
        <v>1127</v>
      </c>
      <c r="R10" s="90">
        <v>4</v>
      </c>
      <c r="S10" s="50">
        <v>381</v>
      </c>
      <c r="T10" s="101">
        <v>34</v>
      </c>
      <c r="U10" s="90">
        <v>208</v>
      </c>
      <c r="V10" s="50">
        <v>6235</v>
      </c>
      <c r="W10" s="101">
        <v>207</v>
      </c>
    </row>
    <row r="11" spans="1:30" ht="15" customHeight="1">
      <c r="A11" s="76" t="s">
        <v>597</v>
      </c>
      <c r="B11" s="29">
        <v>244</v>
      </c>
      <c r="C11" s="24">
        <v>16444</v>
      </c>
      <c r="D11" s="39">
        <v>609</v>
      </c>
      <c r="E11" s="54">
        <v>20</v>
      </c>
      <c r="F11" s="54">
        <v>2105</v>
      </c>
      <c r="G11" s="39">
        <v>78</v>
      </c>
      <c r="H11" s="54">
        <v>12</v>
      </c>
      <c r="I11" s="50">
        <v>7881</v>
      </c>
      <c r="J11" s="101">
        <v>176</v>
      </c>
      <c r="K11" s="90">
        <v>8</v>
      </c>
      <c r="L11" s="50">
        <v>6840</v>
      </c>
      <c r="M11" s="101">
        <v>201</v>
      </c>
      <c r="N11" s="74" t="s">
        <v>597</v>
      </c>
      <c r="O11" s="90">
        <v>1</v>
      </c>
      <c r="P11" s="50">
        <v>696</v>
      </c>
      <c r="Q11" s="101">
        <v>8</v>
      </c>
      <c r="R11" s="90">
        <v>1</v>
      </c>
      <c r="S11" s="50">
        <v>207</v>
      </c>
      <c r="T11" s="101">
        <v>11</v>
      </c>
      <c r="U11" s="90">
        <v>386</v>
      </c>
      <c r="V11" s="50">
        <v>10449</v>
      </c>
      <c r="W11" s="101">
        <v>401</v>
      </c>
    </row>
    <row r="12" spans="1:30" ht="15" customHeight="1">
      <c r="A12" s="400" t="s">
        <v>598</v>
      </c>
      <c r="B12" s="90">
        <v>122</v>
      </c>
      <c r="C12" s="50">
        <v>13388</v>
      </c>
      <c r="D12" s="101">
        <v>281</v>
      </c>
      <c r="E12" s="50">
        <v>16</v>
      </c>
      <c r="F12" s="50">
        <v>1692</v>
      </c>
      <c r="G12" s="101">
        <v>45</v>
      </c>
      <c r="H12" s="54">
        <v>8</v>
      </c>
      <c r="I12" s="50">
        <v>6460</v>
      </c>
      <c r="J12" s="101">
        <v>127</v>
      </c>
      <c r="K12" s="90">
        <v>7</v>
      </c>
      <c r="L12" s="50">
        <v>5111</v>
      </c>
      <c r="M12" s="101">
        <v>141</v>
      </c>
      <c r="N12" s="395" t="s">
        <v>598</v>
      </c>
      <c r="O12" s="90">
        <v>1</v>
      </c>
      <c r="P12" s="50">
        <v>1532</v>
      </c>
      <c r="Q12" s="101">
        <v>23</v>
      </c>
      <c r="R12" s="90">
        <v>1</v>
      </c>
      <c r="S12" s="623">
        <v>100</v>
      </c>
      <c r="T12" s="101">
        <v>9</v>
      </c>
      <c r="U12" s="90">
        <v>288</v>
      </c>
      <c r="V12" s="50">
        <v>7097</v>
      </c>
      <c r="W12" s="101">
        <v>306</v>
      </c>
    </row>
    <row r="13" spans="1:30" ht="15" customHeight="1">
      <c r="A13" s="400" t="s">
        <v>599</v>
      </c>
      <c r="B13" s="90">
        <v>75</v>
      </c>
      <c r="C13" s="50">
        <v>6657</v>
      </c>
      <c r="D13" s="101">
        <v>171</v>
      </c>
      <c r="E13" s="623">
        <v>12</v>
      </c>
      <c r="F13" s="623">
        <v>1609</v>
      </c>
      <c r="G13" s="149">
        <v>25</v>
      </c>
      <c r="H13" s="54">
        <v>4</v>
      </c>
      <c r="I13" s="54">
        <v>3236</v>
      </c>
      <c r="J13" s="39">
        <v>50</v>
      </c>
      <c r="K13" s="29">
        <v>6</v>
      </c>
      <c r="L13" s="24">
        <v>5205</v>
      </c>
      <c r="M13" s="39">
        <v>107</v>
      </c>
      <c r="N13" s="395" t="s">
        <v>599</v>
      </c>
      <c r="O13" s="1007" t="s">
        <v>1127</v>
      </c>
      <c r="P13" s="54" t="s">
        <v>1127</v>
      </c>
      <c r="Q13" s="1009" t="s">
        <v>1127</v>
      </c>
      <c r="R13" s="1008" t="s">
        <v>1127</v>
      </c>
      <c r="S13" s="50" t="s">
        <v>1127</v>
      </c>
      <c r="T13" s="1009" t="s">
        <v>1127</v>
      </c>
      <c r="U13" s="90">
        <v>125</v>
      </c>
      <c r="V13" s="50">
        <v>4022</v>
      </c>
      <c r="W13" s="101">
        <v>134</v>
      </c>
    </row>
    <row r="14" spans="1:30" ht="15" customHeight="1">
      <c r="A14" s="400" t="s">
        <v>771</v>
      </c>
      <c r="B14" s="90">
        <v>166</v>
      </c>
      <c r="C14" s="50">
        <v>13461</v>
      </c>
      <c r="D14" s="101">
        <v>451</v>
      </c>
      <c r="E14" s="50">
        <v>14</v>
      </c>
      <c r="F14" s="50">
        <v>2961</v>
      </c>
      <c r="G14" s="101">
        <v>60</v>
      </c>
      <c r="H14" s="54">
        <v>11</v>
      </c>
      <c r="I14" s="50">
        <v>7484</v>
      </c>
      <c r="J14" s="39">
        <v>169</v>
      </c>
      <c r="K14" s="29">
        <v>12</v>
      </c>
      <c r="L14" s="24">
        <v>8337</v>
      </c>
      <c r="M14" s="39">
        <v>190</v>
      </c>
      <c r="N14" s="395" t="s">
        <v>771</v>
      </c>
      <c r="O14" s="29">
        <v>1</v>
      </c>
      <c r="P14" s="54">
        <v>1312</v>
      </c>
      <c r="Q14" s="54">
        <v>12</v>
      </c>
      <c r="R14" s="1008">
        <v>1</v>
      </c>
      <c r="S14" s="54">
        <v>63</v>
      </c>
      <c r="T14" s="54">
        <v>2</v>
      </c>
      <c r="U14" s="29">
        <v>280</v>
      </c>
      <c r="V14" s="24">
        <v>8522</v>
      </c>
      <c r="W14" s="39">
        <v>309</v>
      </c>
    </row>
    <row r="15" spans="1:30" ht="15" customHeight="1">
      <c r="A15" s="400" t="s">
        <v>600</v>
      </c>
      <c r="B15" s="90">
        <v>193</v>
      </c>
      <c r="C15" s="50">
        <v>11957</v>
      </c>
      <c r="D15" s="101">
        <v>516</v>
      </c>
      <c r="E15" s="50">
        <v>31</v>
      </c>
      <c r="F15" s="50">
        <v>3628</v>
      </c>
      <c r="G15" s="101">
        <v>72</v>
      </c>
      <c r="H15" s="54">
        <v>11</v>
      </c>
      <c r="I15" s="50">
        <v>7920</v>
      </c>
      <c r="J15" s="101">
        <v>137</v>
      </c>
      <c r="K15" s="90">
        <v>14</v>
      </c>
      <c r="L15" s="50">
        <v>11375</v>
      </c>
      <c r="M15" s="101">
        <v>269</v>
      </c>
      <c r="N15" s="395" t="s">
        <v>600</v>
      </c>
      <c r="O15" s="90">
        <v>2</v>
      </c>
      <c r="P15" s="50">
        <v>2889</v>
      </c>
      <c r="Q15" s="101">
        <v>35</v>
      </c>
      <c r="R15" s="90">
        <v>2</v>
      </c>
      <c r="S15" s="50">
        <v>116</v>
      </c>
      <c r="T15" s="101">
        <v>4</v>
      </c>
      <c r="U15" s="90">
        <v>290</v>
      </c>
      <c r="V15" s="50">
        <v>8390</v>
      </c>
      <c r="W15" s="101">
        <v>306</v>
      </c>
    </row>
    <row r="16" spans="1:30" ht="15" customHeight="1">
      <c r="A16" s="400" t="s">
        <v>602</v>
      </c>
      <c r="B16" s="90">
        <v>246</v>
      </c>
      <c r="C16" s="50">
        <v>24146</v>
      </c>
      <c r="D16" s="101">
        <v>703</v>
      </c>
      <c r="E16" s="623">
        <v>32</v>
      </c>
      <c r="F16" s="623">
        <v>3711</v>
      </c>
      <c r="G16" s="149">
        <v>82</v>
      </c>
      <c r="H16" s="54">
        <v>16</v>
      </c>
      <c r="I16" s="50">
        <v>14390</v>
      </c>
      <c r="J16" s="101">
        <v>183</v>
      </c>
      <c r="K16" s="90">
        <v>12</v>
      </c>
      <c r="L16" s="50">
        <v>8442</v>
      </c>
      <c r="M16" s="101">
        <v>237</v>
      </c>
      <c r="N16" s="395" t="s">
        <v>602</v>
      </c>
      <c r="O16" s="90">
        <v>1</v>
      </c>
      <c r="P16" s="50">
        <v>1180</v>
      </c>
      <c r="Q16" s="101">
        <v>14</v>
      </c>
      <c r="R16" s="1008" t="s">
        <v>1127</v>
      </c>
      <c r="S16" s="50" t="s">
        <v>1127</v>
      </c>
      <c r="T16" s="1009" t="s">
        <v>1127</v>
      </c>
      <c r="U16" s="90">
        <v>385</v>
      </c>
      <c r="V16" s="50">
        <v>14880</v>
      </c>
      <c r="W16" s="101">
        <v>431</v>
      </c>
    </row>
    <row r="17" spans="1:23" s="769" customFormat="1" ht="15" customHeight="1">
      <c r="A17" s="350" t="s">
        <v>366</v>
      </c>
      <c r="B17" s="64">
        <f t="shared" ref="B17:W17" si="2">SUM(B18:B25)</f>
        <v>1200</v>
      </c>
      <c r="C17" s="275">
        <f t="shared" si="2"/>
        <v>86786</v>
      </c>
      <c r="D17" s="275">
        <f t="shared" si="2"/>
        <v>2937</v>
      </c>
      <c r="E17" s="64">
        <f t="shared" si="2"/>
        <v>113</v>
      </c>
      <c r="F17" s="275">
        <f t="shared" si="2"/>
        <v>16805</v>
      </c>
      <c r="G17" s="275">
        <f t="shared" si="2"/>
        <v>359</v>
      </c>
      <c r="H17" s="64">
        <f t="shared" si="2"/>
        <v>50</v>
      </c>
      <c r="I17" s="275">
        <f t="shared" si="2"/>
        <v>28178</v>
      </c>
      <c r="J17" s="275">
        <f t="shared" si="2"/>
        <v>644</v>
      </c>
      <c r="K17" s="64">
        <f t="shared" si="2"/>
        <v>112</v>
      </c>
      <c r="L17" s="275">
        <f t="shared" si="2"/>
        <v>93919</v>
      </c>
      <c r="M17" s="44">
        <f>SUM(M18:M25)</f>
        <v>1900</v>
      </c>
      <c r="N17" s="303" t="s">
        <v>366</v>
      </c>
      <c r="O17" s="64">
        <f t="shared" si="2"/>
        <v>6</v>
      </c>
      <c r="P17" s="275">
        <f t="shared" si="2"/>
        <v>13067</v>
      </c>
      <c r="Q17" s="275">
        <f t="shared" si="2"/>
        <v>135</v>
      </c>
      <c r="R17" s="64">
        <f t="shared" si="2"/>
        <v>6</v>
      </c>
      <c r="S17" s="275">
        <v>702</v>
      </c>
      <c r="T17" s="275">
        <v>53</v>
      </c>
      <c r="U17" s="64">
        <f t="shared" si="2"/>
        <v>1993</v>
      </c>
      <c r="V17" s="275">
        <f>SUM(V18:V25)</f>
        <v>51849</v>
      </c>
      <c r="W17" s="44">
        <f t="shared" si="2"/>
        <v>2083</v>
      </c>
    </row>
    <row r="18" spans="1:23" ht="15" customHeight="1">
      <c r="A18" s="400" t="s">
        <v>605</v>
      </c>
      <c r="B18" s="90">
        <v>169</v>
      </c>
      <c r="C18" s="50">
        <v>12400</v>
      </c>
      <c r="D18" s="101">
        <v>448</v>
      </c>
      <c r="E18" s="50">
        <v>13</v>
      </c>
      <c r="F18" s="50">
        <v>1741</v>
      </c>
      <c r="G18" s="101">
        <v>37</v>
      </c>
      <c r="H18" s="54">
        <v>12</v>
      </c>
      <c r="I18" s="50">
        <v>7364</v>
      </c>
      <c r="J18" s="101">
        <v>152</v>
      </c>
      <c r="K18" s="90">
        <v>13</v>
      </c>
      <c r="L18" s="50">
        <v>10695</v>
      </c>
      <c r="M18" s="101">
        <v>293</v>
      </c>
      <c r="N18" s="395" t="s">
        <v>605</v>
      </c>
      <c r="O18" s="90">
        <v>1</v>
      </c>
      <c r="P18" s="50">
        <v>2096</v>
      </c>
      <c r="Q18" s="101">
        <v>31</v>
      </c>
      <c r="R18" s="1008" t="s">
        <v>1127</v>
      </c>
      <c r="S18" s="50" t="s">
        <v>1127</v>
      </c>
      <c r="T18" s="1009" t="s">
        <v>1127</v>
      </c>
      <c r="U18" s="90">
        <v>254</v>
      </c>
      <c r="V18" s="50">
        <v>8297</v>
      </c>
      <c r="W18" s="101">
        <v>244</v>
      </c>
    </row>
    <row r="19" spans="1:23" ht="15" customHeight="1">
      <c r="A19" s="400" t="s">
        <v>604</v>
      </c>
      <c r="B19" s="90">
        <v>118</v>
      </c>
      <c r="C19" s="50">
        <v>8882</v>
      </c>
      <c r="D19" s="101">
        <v>332</v>
      </c>
      <c r="E19" s="50">
        <v>17</v>
      </c>
      <c r="F19" s="50">
        <v>2068</v>
      </c>
      <c r="G19" s="101">
        <v>61</v>
      </c>
      <c r="H19" s="54">
        <v>5</v>
      </c>
      <c r="I19" s="50">
        <v>2413</v>
      </c>
      <c r="J19" s="101">
        <v>70</v>
      </c>
      <c r="K19" s="90">
        <v>11</v>
      </c>
      <c r="L19" s="50">
        <v>9752</v>
      </c>
      <c r="M19" s="101">
        <v>189</v>
      </c>
      <c r="N19" s="395" t="s">
        <v>604</v>
      </c>
      <c r="O19" s="90">
        <v>1</v>
      </c>
      <c r="P19" s="50">
        <v>3613</v>
      </c>
      <c r="Q19" s="101">
        <v>28</v>
      </c>
      <c r="R19" s="90">
        <v>1</v>
      </c>
      <c r="S19" s="50">
        <v>100</v>
      </c>
      <c r="T19" s="101">
        <v>10</v>
      </c>
      <c r="U19" s="90">
        <v>246</v>
      </c>
      <c r="V19" s="54">
        <v>5686</v>
      </c>
      <c r="W19" s="101">
        <v>247</v>
      </c>
    </row>
    <row r="20" spans="1:23" ht="15" customHeight="1">
      <c r="A20" s="400" t="s">
        <v>368</v>
      </c>
      <c r="B20" s="90">
        <v>95</v>
      </c>
      <c r="C20" s="50">
        <v>6121</v>
      </c>
      <c r="D20" s="101">
        <v>195</v>
      </c>
      <c r="E20" s="102">
        <v>9</v>
      </c>
      <c r="F20" s="54">
        <v>1342</v>
      </c>
      <c r="G20" s="39">
        <v>22</v>
      </c>
      <c r="H20" s="50">
        <v>6</v>
      </c>
      <c r="I20" s="50">
        <v>4424</v>
      </c>
      <c r="J20" s="101">
        <v>105</v>
      </c>
      <c r="K20" s="90">
        <v>7</v>
      </c>
      <c r="L20" s="50">
        <v>4589</v>
      </c>
      <c r="M20" s="101">
        <v>82</v>
      </c>
      <c r="N20" s="395" t="s">
        <v>368</v>
      </c>
      <c r="O20" s="1008" t="s">
        <v>1127</v>
      </c>
      <c r="P20" s="50" t="s">
        <v>1127</v>
      </c>
      <c r="Q20" s="1009" t="s">
        <v>1127</v>
      </c>
      <c r="R20" s="1008" t="s">
        <v>1127</v>
      </c>
      <c r="S20" s="50" t="s">
        <v>1127</v>
      </c>
      <c r="T20" s="1009" t="s">
        <v>1127</v>
      </c>
      <c r="U20" s="90">
        <v>78</v>
      </c>
      <c r="V20" s="50">
        <v>3100</v>
      </c>
      <c r="W20" s="101">
        <v>75</v>
      </c>
    </row>
    <row r="21" spans="1:23" ht="15" customHeight="1">
      <c r="A21" s="400" t="s">
        <v>606</v>
      </c>
      <c r="B21" s="90">
        <v>159</v>
      </c>
      <c r="C21" s="50">
        <v>11066</v>
      </c>
      <c r="D21" s="101">
        <v>351</v>
      </c>
      <c r="E21" s="50">
        <v>17</v>
      </c>
      <c r="F21" s="50">
        <v>2198</v>
      </c>
      <c r="G21" s="101">
        <v>59</v>
      </c>
      <c r="H21" s="50">
        <v>4</v>
      </c>
      <c r="I21" s="50">
        <v>2300</v>
      </c>
      <c r="J21" s="101">
        <v>33</v>
      </c>
      <c r="K21" s="90">
        <v>13</v>
      </c>
      <c r="L21" s="50">
        <v>11007</v>
      </c>
      <c r="M21" s="101">
        <v>224</v>
      </c>
      <c r="N21" s="395" t="s">
        <v>606</v>
      </c>
      <c r="O21" s="115">
        <v>1</v>
      </c>
      <c r="P21" s="623">
        <v>527</v>
      </c>
      <c r="Q21" s="149">
        <v>12</v>
      </c>
      <c r="R21" s="1008" t="s">
        <v>1127</v>
      </c>
      <c r="S21" s="50" t="s">
        <v>1127</v>
      </c>
      <c r="T21" s="1009" t="s">
        <v>1127</v>
      </c>
      <c r="U21" s="90">
        <v>339</v>
      </c>
      <c r="V21" s="50">
        <v>7259</v>
      </c>
      <c r="W21" s="101">
        <v>357</v>
      </c>
    </row>
    <row r="22" spans="1:23" ht="15" customHeight="1">
      <c r="A22" s="400" t="s">
        <v>347</v>
      </c>
      <c r="B22" s="90">
        <v>172</v>
      </c>
      <c r="C22" s="50">
        <v>12132</v>
      </c>
      <c r="D22" s="101">
        <v>465</v>
      </c>
      <c r="E22" s="50">
        <v>15</v>
      </c>
      <c r="F22" s="50">
        <v>2363</v>
      </c>
      <c r="G22" s="101">
        <v>49</v>
      </c>
      <c r="H22" s="50">
        <v>10</v>
      </c>
      <c r="I22" s="50">
        <v>6384</v>
      </c>
      <c r="J22" s="101">
        <v>151</v>
      </c>
      <c r="K22" s="90">
        <v>15</v>
      </c>
      <c r="L22" s="50">
        <v>13486</v>
      </c>
      <c r="M22" s="101">
        <v>219</v>
      </c>
      <c r="N22" s="395" t="s">
        <v>347</v>
      </c>
      <c r="O22" s="90">
        <v>1</v>
      </c>
      <c r="P22" s="50">
        <v>2337</v>
      </c>
      <c r="Q22" s="101">
        <v>36</v>
      </c>
      <c r="R22" s="90">
        <v>3</v>
      </c>
      <c r="S22" s="50">
        <v>486</v>
      </c>
      <c r="T22" s="101">
        <v>31</v>
      </c>
      <c r="U22" s="90">
        <v>244</v>
      </c>
      <c r="V22" s="50">
        <v>7237</v>
      </c>
      <c r="W22" s="101">
        <v>262</v>
      </c>
    </row>
    <row r="23" spans="1:23" ht="15" customHeight="1">
      <c r="A23" s="400" t="s">
        <v>369</v>
      </c>
      <c r="B23" s="90">
        <v>173</v>
      </c>
      <c r="C23" s="50">
        <v>11160</v>
      </c>
      <c r="D23" s="101">
        <v>421</v>
      </c>
      <c r="E23" s="50">
        <v>20</v>
      </c>
      <c r="F23" s="50">
        <v>3645</v>
      </c>
      <c r="G23" s="101">
        <v>55</v>
      </c>
      <c r="H23" s="50">
        <v>7</v>
      </c>
      <c r="I23" s="50">
        <v>2353</v>
      </c>
      <c r="J23" s="101">
        <v>85</v>
      </c>
      <c r="K23" s="90">
        <v>14</v>
      </c>
      <c r="L23" s="50">
        <v>15575</v>
      </c>
      <c r="M23" s="101">
        <v>214</v>
      </c>
      <c r="N23" s="395" t="s">
        <v>369</v>
      </c>
      <c r="O23" s="1008" t="s">
        <v>1127</v>
      </c>
      <c r="P23" s="50" t="s">
        <v>1127</v>
      </c>
      <c r="Q23" s="1009" t="s">
        <v>1127</v>
      </c>
      <c r="R23" s="1008" t="s">
        <v>1127</v>
      </c>
      <c r="S23" s="50" t="s">
        <v>1127</v>
      </c>
      <c r="T23" s="1009" t="s">
        <v>1127</v>
      </c>
      <c r="U23" s="90">
        <v>236</v>
      </c>
      <c r="V23" s="50">
        <v>7839</v>
      </c>
      <c r="W23" s="101">
        <v>256</v>
      </c>
    </row>
    <row r="24" spans="1:23" ht="15" customHeight="1">
      <c r="A24" s="400" t="s">
        <v>349</v>
      </c>
      <c r="B24" s="90">
        <v>199</v>
      </c>
      <c r="C24" s="50">
        <v>15846</v>
      </c>
      <c r="D24" s="101">
        <v>446</v>
      </c>
      <c r="E24" s="50">
        <v>15</v>
      </c>
      <c r="F24" s="50">
        <v>2229</v>
      </c>
      <c r="G24" s="101">
        <v>41</v>
      </c>
      <c r="H24" s="50">
        <v>3</v>
      </c>
      <c r="I24" s="50">
        <v>1506</v>
      </c>
      <c r="J24" s="101">
        <v>19</v>
      </c>
      <c r="K24" s="90">
        <v>26</v>
      </c>
      <c r="L24" s="50">
        <v>18346</v>
      </c>
      <c r="M24" s="101">
        <v>432</v>
      </c>
      <c r="N24" s="395" t="s">
        <v>349</v>
      </c>
      <c r="O24" s="115">
        <v>1</v>
      </c>
      <c r="P24" s="623">
        <v>1084</v>
      </c>
      <c r="Q24" s="149">
        <v>5</v>
      </c>
      <c r="R24" s="1008" t="s">
        <v>1127</v>
      </c>
      <c r="S24" s="50" t="s">
        <v>1127</v>
      </c>
      <c r="T24" s="1009" t="s">
        <v>1127</v>
      </c>
      <c r="U24" s="90">
        <v>485</v>
      </c>
      <c r="V24" s="50">
        <v>8013</v>
      </c>
      <c r="W24" s="101">
        <v>519</v>
      </c>
    </row>
    <row r="25" spans="1:23" ht="15" customHeight="1">
      <c r="A25" s="400" t="s">
        <v>370</v>
      </c>
      <c r="B25" s="90">
        <v>115</v>
      </c>
      <c r="C25" s="50">
        <v>9179</v>
      </c>
      <c r="D25" s="101">
        <v>279</v>
      </c>
      <c r="E25" s="50">
        <v>7</v>
      </c>
      <c r="F25" s="50">
        <v>1219</v>
      </c>
      <c r="G25" s="101">
        <v>35</v>
      </c>
      <c r="H25" s="50">
        <v>3</v>
      </c>
      <c r="I25" s="50">
        <v>1434</v>
      </c>
      <c r="J25" s="101">
        <v>29</v>
      </c>
      <c r="K25" s="90">
        <v>13</v>
      </c>
      <c r="L25" s="50">
        <v>10469</v>
      </c>
      <c r="M25" s="39">
        <v>247</v>
      </c>
      <c r="N25" s="395" t="s">
        <v>370</v>
      </c>
      <c r="O25" s="90">
        <v>1</v>
      </c>
      <c r="P25" s="50">
        <v>3410</v>
      </c>
      <c r="Q25" s="101">
        <v>23</v>
      </c>
      <c r="R25" s="90">
        <v>2</v>
      </c>
      <c r="S25" s="50">
        <v>116</v>
      </c>
      <c r="T25" s="101">
        <v>12</v>
      </c>
      <c r="U25" s="90">
        <v>111</v>
      </c>
      <c r="V25" s="50">
        <v>4418</v>
      </c>
      <c r="W25" s="101">
        <v>123</v>
      </c>
    </row>
    <row r="26" spans="1:23" ht="15" customHeight="1">
      <c r="A26" s="350" t="s">
        <v>371</v>
      </c>
      <c r="B26" s="456">
        <f t="shared" ref="B26:W26" si="3">SUM(B27:B34)</f>
        <v>979</v>
      </c>
      <c r="C26" s="457">
        <f t="shared" si="3"/>
        <v>86750</v>
      </c>
      <c r="D26" s="457">
        <f t="shared" si="3"/>
        <v>3031</v>
      </c>
      <c r="E26" s="456">
        <f t="shared" si="3"/>
        <v>112</v>
      </c>
      <c r="F26" s="457">
        <f t="shared" si="3"/>
        <v>15092</v>
      </c>
      <c r="G26" s="457">
        <f t="shared" si="3"/>
        <v>352</v>
      </c>
      <c r="H26" s="456">
        <f t="shared" si="3"/>
        <v>57</v>
      </c>
      <c r="I26" s="457">
        <f t="shared" si="3"/>
        <v>28738</v>
      </c>
      <c r="J26" s="457">
        <f t="shared" si="3"/>
        <v>630</v>
      </c>
      <c r="K26" s="456">
        <f t="shared" si="3"/>
        <v>81</v>
      </c>
      <c r="L26" s="457">
        <f t="shared" si="3"/>
        <v>78915</v>
      </c>
      <c r="M26" s="458">
        <f t="shared" si="3"/>
        <v>1638</v>
      </c>
      <c r="N26" s="303" t="s">
        <v>371</v>
      </c>
      <c r="O26" s="456">
        <f t="shared" si="3"/>
        <v>6</v>
      </c>
      <c r="P26" s="457">
        <f t="shared" si="3"/>
        <v>10552</v>
      </c>
      <c r="Q26" s="457">
        <f t="shared" si="3"/>
        <v>188</v>
      </c>
      <c r="R26" s="456">
        <f t="shared" si="3"/>
        <v>14</v>
      </c>
      <c r="S26" s="457">
        <f t="shared" si="3"/>
        <v>4170</v>
      </c>
      <c r="T26" s="457">
        <f t="shared" si="3"/>
        <v>304</v>
      </c>
      <c r="U26" s="456">
        <f t="shared" si="3"/>
        <v>1649</v>
      </c>
      <c r="V26" s="457">
        <f t="shared" si="3"/>
        <v>57769</v>
      </c>
      <c r="W26" s="458">
        <f t="shared" si="3"/>
        <v>1838</v>
      </c>
    </row>
    <row r="27" spans="1:23" ht="15" customHeight="1">
      <c r="A27" s="400" t="s">
        <v>350</v>
      </c>
      <c r="B27" s="29">
        <v>150</v>
      </c>
      <c r="C27" s="54">
        <v>14253</v>
      </c>
      <c r="D27" s="39">
        <v>485</v>
      </c>
      <c r="E27" s="54">
        <v>18</v>
      </c>
      <c r="F27" s="54">
        <v>2229</v>
      </c>
      <c r="G27" s="54">
        <v>45</v>
      </c>
      <c r="H27" s="90">
        <v>8</v>
      </c>
      <c r="I27" s="50">
        <v>4954</v>
      </c>
      <c r="J27" s="101">
        <v>109</v>
      </c>
      <c r="K27" s="90">
        <v>10</v>
      </c>
      <c r="L27" s="50">
        <v>8663</v>
      </c>
      <c r="M27" s="101">
        <v>193</v>
      </c>
      <c r="N27" s="395" t="s">
        <v>350</v>
      </c>
      <c r="O27" s="115">
        <v>1</v>
      </c>
      <c r="P27" s="623">
        <v>680</v>
      </c>
      <c r="Q27" s="149">
        <v>11</v>
      </c>
      <c r="R27" s="90">
        <v>3</v>
      </c>
      <c r="S27" s="50">
        <v>2377</v>
      </c>
      <c r="T27" s="101">
        <v>173</v>
      </c>
      <c r="U27" s="90">
        <v>229</v>
      </c>
      <c r="V27" s="50">
        <v>7171</v>
      </c>
      <c r="W27" s="101">
        <v>229</v>
      </c>
    </row>
    <row r="28" spans="1:23" ht="15" customHeight="1">
      <c r="A28" s="400" t="s">
        <v>356</v>
      </c>
      <c r="B28" s="29">
        <v>34</v>
      </c>
      <c r="C28" s="54">
        <v>2571</v>
      </c>
      <c r="D28" s="39">
        <v>98</v>
      </c>
      <c r="E28" s="54">
        <v>1</v>
      </c>
      <c r="F28" s="54">
        <v>96</v>
      </c>
      <c r="G28" s="54">
        <v>3</v>
      </c>
      <c r="H28" s="90">
        <v>2</v>
      </c>
      <c r="I28" s="50">
        <v>1357</v>
      </c>
      <c r="J28" s="101">
        <v>19</v>
      </c>
      <c r="K28" s="90">
        <v>5</v>
      </c>
      <c r="L28" s="50">
        <v>8621</v>
      </c>
      <c r="M28" s="101">
        <v>115</v>
      </c>
      <c r="N28" s="395" t="s">
        <v>356</v>
      </c>
      <c r="O28" s="90">
        <v>1</v>
      </c>
      <c r="P28" s="50">
        <v>3290</v>
      </c>
      <c r="Q28" s="101">
        <v>75</v>
      </c>
      <c r="R28" s="90">
        <v>6</v>
      </c>
      <c r="S28" s="50">
        <v>1310</v>
      </c>
      <c r="T28" s="101">
        <v>90</v>
      </c>
      <c r="U28" s="90">
        <v>3</v>
      </c>
      <c r="V28" s="50">
        <v>1856</v>
      </c>
      <c r="W28" s="101">
        <v>48</v>
      </c>
    </row>
    <row r="29" spans="1:23" ht="15" customHeight="1">
      <c r="A29" s="400" t="s">
        <v>351</v>
      </c>
      <c r="B29" s="29">
        <v>161</v>
      </c>
      <c r="C29" s="54">
        <v>12226</v>
      </c>
      <c r="D29" s="39">
        <v>493</v>
      </c>
      <c r="E29" s="624">
        <v>18</v>
      </c>
      <c r="F29" s="624">
        <v>2705</v>
      </c>
      <c r="G29" s="54">
        <v>49</v>
      </c>
      <c r="H29" s="90">
        <v>9</v>
      </c>
      <c r="I29" s="50">
        <v>4158</v>
      </c>
      <c r="J29" s="101">
        <v>76</v>
      </c>
      <c r="K29" s="90">
        <v>13</v>
      </c>
      <c r="L29" s="50">
        <v>12059</v>
      </c>
      <c r="M29" s="101">
        <v>289</v>
      </c>
      <c r="N29" s="395" t="s">
        <v>351</v>
      </c>
      <c r="O29" s="90">
        <v>1</v>
      </c>
      <c r="P29" s="50">
        <v>1112</v>
      </c>
      <c r="Q29" s="101">
        <v>20</v>
      </c>
      <c r="R29" s="1008" t="s">
        <v>1127</v>
      </c>
      <c r="S29" s="50" t="s">
        <v>1127</v>
      </c>
      <c r="T29" s="1009" t="s">
        <v>1127</v>
      </c>
      <c r="U29" s="90">
        <v>260</v>
      </c>
      <c r="V29" s="50">
        <v>8119</v>
      </c>
      <c r="W29" s="101">
        <v>301</v>
      </c>
    </row>
    <row r="30" spans="1:23" ht="15" customHeight="1">
      <c r="A30" s="400" t="s">
        <v>352</v>
      </c>
      <c r="B30" s="90">
        <v>161</v>
      </c>
      <c r="C30" s="50">
        <v>15328</v>
      </c>
      <c r="D30" s="101">
        <v>598</v>
      </c>
      <c r="E30" s="623">
        <v>25</v>
      </c>
      <c r="F30" s="623">
        <v>3999</v>
      </c>
      <c r="G30" s="54">
        <v>79</v>
      </c>
      <c r="H30" s="90">
        <v>13</v>
      </c>
      <c r="I30" s="50">
        <v>5821</v>
      </c>
      <c r="J30" s="101">
        <v>118</v>
      </c>
      <c r="K30" s="90">
        <v>13</v>
      </c>
      <c r="L30" s="50">
        <v>11574</v>
      </c>
      <c r="M30" s="101">
        <v>290</v>
      </c>
      <c r="N30" s="395" t="s">
        <v>352</v>
      </c>
      <c r="O30" s="1008" t="s">
        <v>1127</v>
      </c>
      <c r="P30" s="50" t="s">
        <v>1127</v>
      </c>
      <c r="Q30" s="1009" t="s">
        <v>1127</v>
      </c>
      <c r="R30" s="90">
        <v>3</v>
      </c>
      <c r="S30" s="50">
        <v>333</v>
      </c>
      <c r="T30" s="101">
        <v>24</v>
      </c>
      <c r="U30" s="90">
        <v>296</v>
      </c>
      <c r="V30" s="50">
        <v>9944</v>
      </c>
      <c r="W30" s="101">
        <v>329</v>
      </c>
    </row>
    <row r="31" spans="1:23" ht="15" customHeight="1">
      <c r="A31" s="400" t="s">
        <v>353</v>
      </c>
      <c r="B31" s="90">
        <v>155</v>
      </c>
      <c r="C31" s="50">
        <v>11196</v>
      </c>
      <c r="D31" s="101">
        <v>390</v>
      </c>
      <c r="E31" s="50">
        <v>14</v>
      </c>
      <c r="F31" s="50">
        <v>1426</v>
      </c>
      <c r="G31" s="101">
        <v>60</v>
      </c>
      <c r="H31" s="90">
        <v>5</v>
      </c>
      <c r="I31" s="50">
        <v>2290</v>
      </c>
      <c r="J31" s="101">
        <v>72</v>
      </c>
      <c r="K31" s="90">
        <v>12</v>
      </c>
      <c r="L31" s="50">
        <v>10359</v>
      </c>
      <c r="M31" s="101">
        <v>229</v>
      </c>
      <c r="N31" s="395" t="s">
        <v>353</v>
      </c>
      <c r="O31" s="1008" t="s">
        <v>1127</v>
      </c>
      <c r="P31" s="50" t="s">
        <v>1127</v>
      </c>
      <c r="Q31" s="1009" t="s">
        <v>1127</v>
      </c>
      <c r="R31" s="1008" t="s">
        <v>1127</v>
      </c>
      <c r="S31" s="50" t="s">
        <v>1127</v>
      </c>
      <c r="T31" s="1009" t="s">
        <v>1127</v>
      </c>
      <c r="U31" s="90">
        <v>280</v>
      </c>
      <c r="V31" s="50">
        <v>11066</v>
      </c>
      <c r="W31" s="101">
        <v>318</v>
      </c>
    </row>
    <row r="32" spans="1:23" ht="15" customHeight="1">
      <c r="A32" s="400" t="s">
        <v>362</v>
      </c>
      <c r="B32" s="90">
        <v>30</v>
      </c>
      <c r="C32" s="50">
        <v>1502</v>
      </c>
      <c r="D32" s="101">
        <v>66</v>
      </c>
      <c r="E32" s="50" t="s">
        <v>1127</v>
      </c>
      <c r="F32" s="50" t="s">
        <v>1127</v>
      </c>
      <c r="G32" s="50" t="s">
        <v>1127</v>
      </c>
      <c r="H32" s="90">
        <v>2</v>
      </c>
      <c r="I32" s="50">
        <v>1254</v>
      </c>
      <c r="J32" s="101">
        <v>15</v>
      </c>
      <c r="K32" s="90">
        <v>3</v>
      </c>
      <c r="L32" s="50">
        <v>2324</v>
      </c>
      <c r="M32" s="101">
        <v>45</v>
      </c>
      <c r="N32" s="395" t="s">
        <v>362</v>
      </c>
      <c r="O32" s="90">
        <v>1</v>
      </c>
      <c r="P32" s="50">
        <v>2603</v>
      </c>
      <c r="Q32" s="101">
        <v>38</v>
      </c>
      <c r="R32" s="90">
        <v>2</v>
      </c>
      <c r="S32" s="50">
        <v>150</v>
      </c>
      <c r="T32" s="101">
        <v>17</v>
      </c>
      <c r="U32" s="90">
        <v>1</v>
      </c>
      <c r="V32" s="50">
        <v>200</v>
      </c>
      <c r="W32" s="101">
        <v>6</v>
      </c>
    </row>
    <row r="33" spans="1:23" ht="15" customHeight="1">
      <c r="A33" s="400" t="s">
        <v>354</v>
      </c>
      <c r="B33" s="90">
        <v>143</v>
      </c>
      <c r="C33" s="50">
        <v>15294</v>
      </c>
      <c r="D33" s="101">
        <v>448</v>
      </c>
      <c r="E33" s="623">
        <v>17</v>
      </c>
      <c r="F33" s="623">
        <v>2258</v>
      </c>
      <c r="G33" s="623">
        <v>59</v>
      </c>
      <c r="H33" s="90">
        <v>7</v>
      </c>
      <c r="I33" s="50">
        <v>3825</v>
      </c>
      <c r="J33" s="101">
        <v>83</v>
      </c>
      <c r="K33" s="90">
        <v>14</v>
      </c>
      <c r="L33" s="50">
        <v>14021</v>
      </c>
      <c r="M33" s="101">
        <v>248</v>
      </c>
      <c r="N33" s="395" t="s">
        <v>354</v>
      </c>
      <c r="O33" s="90">
        <v>1</v>
      </c>
      <c r="P33" s="50">
        <v>1215</v>
      </c>
      <c r="Q33" s="101">
        <v>20</v>
      </c>
      <c r="R33" s="1008" t="s">
        <v>1127</v>
      </c>
      <c r="S33" s="50" t="s">
        <v>1127</v>
      </c>
      <c r="T33" s="1009" t="s">
        <v>1127</v>
      </c>
      <c r="U33" s="90">
        <v>305</v>
      </c>
      <c r="V33" s="50">
        <v>10303</v>
      </c>
      <c r="W33" s="101">
        <v>369</v>
      </c>
    </row>
    <row r="34" spans="1:23" ht="15" customHeight="1">
      <c r="A34" s="401" t="s">
        <v>355</v>
      </c>
      <c r="B34" s="92">
        <v>145</v>
      </c>
      <c r="C34" s="105">
        <v>14380</v>
      </c>
      <c r="D34" s="104">
        <v>453</v>
      </c>
      <c r="E34" s="625">
        <v>19</v>
      </c>
      <c r="F34" s="625">
        <v>2379</v>
      </c>
      <c r="G34" s="625">
        <v>57</v>
      </c>
      <c r="H34" s="92">
        <v>11</v>
      </c>
      <c r="I34" s="105">
        <v>5079</v>
      </c>
      <c r="J34" s="104">
        <v>138</v>
      </c>
      <c r="K34" s="92">
        <v>11</v>
      </c>
      <c r="L34" s="105">
        <v>11294</v>
      </c>
      <c r="M34" s="104">
        <v>229</v>
      </c>
      <c r="N34" s="396" t="s">
        <v>355</v>
      </c>
      <c r="O34" s="92">
        <v>1</v>
      </c>
      <c r="P34" s="105">
        <v>1652</v>
      </c>
      <c r="Q34" s="104">
        <v>24</v>
      </c>
      <c r="R34" s="1010" t="s">
        <v>1127</v>
      </c>
      <c r="S34" s="105" t="s">
        <v>1127</v>
      </c>
      <c r="T34" s="1011" t="s">
        <v>1127</v>
      </c>
      <c r="U34" s="92">
        <v>275</v>
      </c>
      <c r="V34" s="105">
        <v>9110</v>
      </c>
      <c r="W34" s="104">
        <v>238</v>
      </c>
    </row>
    <row r="35" spans="1:23" ht="15" customHeight="1">
      <c r="A35" s="209" t="s">
        <v>439</v>
      </c>
      <c r="B35" s="209">
        <f>SUM(B7,B17,B26)</f>
        <v>3550</v>
      </c>
      <c r="C35" s="208">
        <f>SUM(C7,C17,C26)</f>
        <v>291356</v>
      </c>
      <c r="D35" s="208">
        <f>SUM(D7,D17,D26)</f>
        <v>9733</v>
      </c>
      <c r="E35" s="209">
        <f t="shared" ref="E35:W35" si="4">SUM(E7,E17,E26)</f>
        <v>369</v>
      </c>
      <c r="F35" s="208">
        <f t="shared" si="4"/>
        <v>49848</v>
      </c>
      <c r="G35" s="208">
        <f t="shared" si="4"/>
        <v>1139</v>
      </c>
      <c r="H35" s="209">
        <f t="shared" si="4"/>
        <v>197</v>
      </c>
      <c r="I35" s="208">
        <f t="shared" si="4"/>
        <v>126245</v>
      </c>
      <c r="J35" s="208">
        <f t="shared" si="4"/>
        <v>2671</v>
      </c>
      <c r="K35" s="209">
        <f t="shared" si="4"/>
        <v>284</v>
      </c>
      <c r="L35" s="208">
        <f t="shared" si="4"/>
        <v>251743</v>
      </c>
      <c r="M35" s="180">
        <f t="shared" si="4"/>
        <v>5412</v>
      </c>
      <c r="N35" s="179" t="s">
        <v>439</v>
      </c>
      <c r="O35" s="209">
        <f>SUM(O7,O17,O26)</f>
        <v>21</v>
      </c>
      <c r="P35" s="208">
        <f t="shared" si="4"/>
        <v>38401</v>
      </c>
      <c r="Q35" s="208">
        <f t="shared" si="4"/>
        <v>556</v>
      </c>
      <c r="R35" s="209">
        <f t="shared" si="4"/>
        <v>34</v>
      </c>
      <c r="S35" s="208">
        <f t="shared" si="4"/>
        <v>7737</v>
      </c>
      <c r="T35" s="208">
        <f t="shared" si="4"/>
        <v>749</v>
      </c>
      <c r="U35" s="209">
        <f>SUM(U7,U17,U26)</f>
        <v>5870</v>
      </c>
      <c r="V35" s="208">
        <f t="shared" si="4"/>
        <v>179537</v>
      </c>
      <c r="W35" s="180">
        <f t="shared" si="4"/>
        <v>6360</v>
      </c>
    </row>
    <row r="36" spans="1:23">
      <c r="A36" s="451"/>
      <c r="B36" s="451"/>
      <c r="C36" s="451"/>
      <c r="D36" s="451"/>
      <c r="E36" s="451"/>
      <c r="F36" s="451"/>
      <c r="G36" s="451"/>
      <c r="H36" s="451"/>
      <c r="I36" s="451"/>
      <c r="J36" s="451"/>
      <c r="K36" s="451"/>
      <c r="M36" s="725" t="s">
        <v>480</v>
      </c>
      <c r="N36" s="451"/>
      <c r="O36" s="451"/>
      <c r="P36" s="451"/>
      <c r="Q36" s="451"/>
      <c r="R36" s="451"/>
      <c r="T36" s="451"/>
      <c r="U36" s="451"/>
      <c r="V36" s="451"/>
      <c r="W36" s="725" t="s">
        <v>1449</v>
      </c>
    </row>
    <row r="37" spans="1:23">
      <c r="A37" s="451"/>
      <c r="B37" s="451"/>
      <c r="C37" s="451"/>
      <c r="D37" s="451"/>
      <c r="E37" s="451"/>
      <c r="F37" s="451"/>
      <c r="G37" s="451"/>
      <c r="H37" s="451"/>
      <c r="I37" s="451" t="s">
        <v>65</v>
      </c>
      <c r="J37" s="451"/>
      <c r="K37" s="451"/>
      <c r="L37" s="451"/>
      <c r="M37" s="451"/>
      <c r="N37" s="451"/>
      <c r="O37" s="451"/>
      <c r="P37" s="451"/>
      <c r="Q37" s="451"/>
      <c r="R37" s="451"/>
      <c r="S37" s="451"/>
      <c r="T37" s="451"/>
      <c r="U37" s="451"/>
      <c r="V37" s="451"/>
      <c r="W37" s="451"/>
    </row>
    <row r="38" spans="1:23">
      <c r="A38" s="451"/>
      <c r="B38" s="451"/>
      <c r="C38" s="451"/>
      <c r="D38" s="451"/>
      <c r="E38" s="451"/>
      <c r="F38" s="451"/>
      <c r="G38" s="451"/>
      <c r="H38" s="451"/>
      <c r="I38" s="451"/>
      <c r="J38" s="451"/>
      <c r="K38" s="451"/>
      <c r="L38" s="451"/>
      <c r="M38" s="451"/>
      <c r="N38" s="451"/>
      <c r="O38" s="451"/>
      <c r="P38" s="451"/>
      <c r="Q38" s="451"/>
      <c r="R38" s="451"/>
      <c r="S38" s="451"/>
      <c r="T38" s="451"/>
      <c r="U38" s="451"/>
      <c r="V38" s="451"/>
      <c r="W38" s="451"/>
    </row>
    <row r="39" spans="1:23">
      <c r="A39" s="451"/>
      <c r="B39" s="451"/>
      <c r="C39" s="451"/>
      <c r="D39" s="451"/>
      <c r="E39" s="451"/>
      <c r="F39" s="451"/>
      <c r="G39" s="451"/>
      <c r="H39" s="451"/>
      <c r="I39" s="451"/>
      <c r="J39" s="451"/>
      <c r="K39" s="451"/>
      <c r="L39" s="451"/>
      <c r="M39" s="451"/>
      <c r="N39" s="451"/>
      <c r="O39" s="451"/>
      <c r="P39" s="451"/>
      <c r="Q39" s="451"/>
      <c r="R39" s="451"/>
      <c r="S39" s="451"/>
      <c r="T39" s="451"/>
      <c r="U39" s="451"/>
      <c r="V39" s="451"/>
      <c r="W39" s="451"/>
    </row>
    <row r="40" spans="1:23">
      <c r="A40" s="451"/>
      <c r="B40" s="451"/>
      <c r="C40" s="451"/>
      <c r="D40" s="451"/>
      <c r="E40" s="451"/>
      <c r="F40" s="451"/>
      <c r="G40" s="451"/>
      <c r="H40" s="451"/>
      <c r="I40" s="451"/>
      <c r="J40" s="451"/>
      <c r="K40" s="451"/>
      <c r="L40" s="451"/>
      <c r="M40" s="451"/>
      <c r="N40" s="451"/>
      <c r="O40" s="451"/>
      <c r="P40" s="451"/>
      <c r="Q40" s="451"/>
      <c r="R40" s="451"/>
      <c r="S40" s="451"/>
      <c r="T40" s="451"/>
      <c r="U40" s="451"/>
      <c r="V40" s="451"/>
      <c r="W40" s="451"/>
    </row>
    <row r="41" spans="1:23">
      <c r="A41" s="451"/>
      <c r="B41" s="451"/>
      <c r="C41" s="451"/>
      <c r="D41" s="451"/>
      <c r="E41" s="451"/>
      <c r="F41" s="451"/>
      <c r="G41" s="451"/>
      <c r="H41" s="451"/>
      <c r="I41" s="451"/>
      <c r="J41" s="451"/>
      <c r="K41" s="451"/>
      <c r="L41" s="451"/>
      <c r="M41" s="451"/>
      <c r="N41" s="451"/>
      <c r="O41" s="451"/>
      <c r="P41" s="451"/>
      <c r="Q41" s="451"/>
      <c r="R41" s="451"/>
      <c r="S41" s="451"/>
      <c r="T41" s="451"/>
      <c r="U41" s="451"/>
      <c r="V41" s="451"/>
      <c r="W41" s="451"/>
    </row>
  </sheetData>
  <mergeCells count="14">
    <mergeCell ref="A1:M1"/>
    <mergeCell ref="A2:M2"/>
    <mergeCell ref="N2:W2"/>
    <mergeCell ref="R4:T4"/>
    <mergeCell ref="N4:N5"/>
    <mergeCell ref="A4:A5"/>
    <mergeCell ref="V3:W3"/>
    <mergeCell ref="L3:M3"/>
    <mergeCell ref="U4:W4"/>
    <mergeCell ref="B4:D4"/>
    <mergeCell ref="E4:G4"/>
    <mergeCell ref="H4:J4"/>
    <mergeCell ref="K4:M4"/>
    <mergeCell ref="O4:Q4"/>
  </mergeCells>
  <phoneticPr fontId="0" type="noConversion"/>
  <printOptions horizontalCentered="1" verticalCentered="1"/>
  <pageMargins left="0.1" right="0.1" top="0.1" bottom="0.1" header="0.7" footer="0"/>
  <pageSetup paperSize="9" orientation="landscape" r:id="rId1"/>
  <headerFooter alignWithMargins="0"/>
</worksheet>
</file>

<file path=xl/worksheets/sheet37.xml><?xml version="1.0" encoding="utf-8"?>
<worksheet xmlns="http://schemas.openxmlformats.org/spreadsheetml/2006/main" xmlns:r="http://schemas.openxmlformats.org/officeDocument/2006/relationships">
  <sheetPr codeName="Sheet45"/>
  <dimension ref="A1:J43"/>
  <sheetViews>
    <sheetView workbookViewId="0">
      <selection activeCell="P10" sqref="P10"/>
    </sheetView>
  </sheetViews>
  <sheetFormatPr defaultRowHeight="12.75"/>
  <cols>
    <col min="1" max="1" width="18" style="2" customWidth="1"/>
    <col min="2" max="2" width="9" style="2" customWidth="1"/>
    <col min="3" max="3" width="8.85546875" style="2" customWidth="1"/>
    <col min="4" max="4" width="8.7109375" style="2" customWidth="1"/>
    <col min="5" max="10" width="7.28515625" style="2" customWidth="1"/>
    <col min="11" max="16384" width="9.140625" style="2"/>
  </cols>
  <sheetData>
    <row r="1" spans="1:10" ht="17.25" customHeight="1">
      <c r="A1" s="1181" t="s">
        <v>9</v>
      </c>
      <c r="B1" s="1181"/>
      <c r="C1" s="1181"/>
      <c r="D1" s="1181"/>
      <c r="E1" s="1181"/>
      <c r="F1" s="1181"/>
      <c r="G1" s="1181"/>
      <c r="H1" s="1181"/>
      <c r="I1" s="1181"/>
      <c r="J1" s="1181"/>
    </row>
    <row r="2" spans="1:10" ht="21" customHeight="1">
      <c r="A2" s="1226" t="str">
        <f>CONCATENATE("Literacy Rate by sex in rural and urban areas in the district of ",District!A1,", 2011")</f>
        <v>Literacy Rate by sex in rural and urban areas in the district of Bankura, 2011</v>
      </c>
      <c r="B2" s="1226"/>
      <c r="C2" s="1226"/>
      <c r="D2" s="1226"/>
      <c r="E2" s="1226"/>
      <c r="F2" s="1226"/>
      <c r="G2" s="1226"/>
      <c r="H2" s="1226"/>
      <c r="I2" s="1226"/>
      <c r="J2" s="1226"/>
    </row>
    <row r="3" spans="1:10" ht="17.25" customHeight="1">
      <c r="A3" s="949"/>
      <c r="B3" s="339"/>
      <c r="C3" s="339"/>
      <c r="D3" s="339"/>
      <c r="E3" s="339"/>
      <c r="F3" s="339"/>
      <c r="G3" s="339"/>
      <c r="H3" s="339"/>
      <c r="I3" s="339"/>
      <c r="J3" s="114" t="s">
        <v>510</v>
      </c>
    </row>
    <row r="4" spans="1:10" ht="15" customHeight="1">
      <c r="A4" s="1194" t="s">
        <v>272</v>
      </c>
      <c r="B4" s="1193" t="s">
        <v>534</v>
      </c>
      <c r="C4" s="1191"/>
      <c r="D4" s="1191"/>
      <c r="E4" s="1193" t="s">
        <v>533</v>
      </c>
      <c r="F4" s="1191"/>
      <c r="G4" s="1192"/>
      <c r="H4" s="1366" t="s">
        <v>1187</v>
      </c>
      <c r="I4" s="1191"/>
      <c r="J4" s="1192"/>
    </row>
    <row r="5" spans="1:10" ht="18" customHeight="1">
      <c r="A5" s="1195"/>
      <c r="B5" s="24" t="s">
        <v>531</v>
      </c>
      <c r="C5" s="24" t="s">
        <v>532</v>
      </c>
      <c r="D5" s="24" t="s">
        <v>439</v>
      </c>
      <c r="E5" s="29" t="s">
        <v>531</v>
      </c>
      <c r="F5" s="24" t="s">
        <v>532</v>
      </c>
      <c r="G5" s="39" t="s">
        <v>439</v>
      </c>
      <c r="H5" s="24" t="s">
        <v>531</v>
      </c>
      <c r="I5" s="24" t="s">
        <v>532</v>
      </c>
      <c r="J5" s="39" t="s">
        <v>439</v>
      </c>
    </row>
    <row r="6" spans="1:10" ht="16.5" customHeight="1">
      <c r="A6" s="213" t="s">
        <v>418</v>
      </c>
      <c r="B6" s="222" t="s">
        <v>419</v>
      </c>
      <c r="C6" s="222" t="s">
        <v>420</v>
      </c>
      <c r="D6" s="222" t="s">
        <v>421</v>
      </c>
      <c r="E6" s="221" t="s">
        <v>422</v>
      </c>
      <c r="F6" s="912" t="s">
        <v>423</v>
      </c>
      <c r="G6" s="214" t="s">
        <v>424</v>
      </c>
      <c r="H6" s="459" t="s">
        <v>440</v>
      </c>
      <c r="I6" s="459" t="s">
        <v>441</v>
      </c>
      <c r="J6" s="216" t="s">
        <v>442</v>
      </c>
    </row>
    <row r="7" spans="1:10" ht="19.5" customHeight="1">
      <c r="A7" s="303" t="s">
        <v>1077</v>
      </c>
      <c r="B7" s="67">
        <v>75</v>
      </c>
      <c r="C7" s="67">
        <v>45.3</v>
      </c>
      <c r="D7" s="67">
        <v>60.5</v>
      </c>
      <c r="E7" s="913">
        <v>90.7</v>
      </c>
      <c r="F7" s="914">
        <v>79.42</v>
      </c>
      <c r="G7" s="915">
        <v>85.15</v>
      </c>
      <c r="H7" s="78">
        <v>79.680000000000007</v>
      </c>
      <c r="I7" s="78">
        <v>58.95</v>
      </c>
      <c r="J7" s="146">
        <v>69.56</v>
      </c>
    </row>
    <row r="8" spans="1:10" ht="19.5" customHeight="1">
      <c r="A8" s="395" t="s">
        <v>596</v>
      </c>
      <c r="B8" s="916">
        <v>79.12</v>
      </c>
      <c r="C8" s="916">
        <v>57.87</v>
      </c>
      <c r="D8" s="916">
        <v>68.739999999999995</v>
      </c>
      <c r="E8" s="917" t="s">
        <v>1127</v>
      </c>
      <c r="F8" s="67" t="s">
        <v>1127</v>
      </c>
      <c r="G8" s="279" t="s">
        <v>1127</v>
      </c>
      <c r="H8" s="72">
        <v>79.12</v>
      </c>
      <c r="I8" s="72">
        <v>57.87</v>
      </c>
      <c r="J8" s="62">
        <v>68.739999999999995</v>
      </c>
    </row>
    <row r="9" spans="1:10" ht="19.5" customHeight="1">
      <c r="A9" s="395" t="s">
        <v>365</v>
      </c>
      <c r="B9" s="916" t="s">
        <v>1127</v>
      </c>
      <c r="C9" s="916" t="s">
        <v>1127</v>
      </c>
      <c r="D9" s="916" t="s">
        <v>1127</v>
      </c>
      <c r="E9" s="918">
        <v>91.46</v>
      </c>
      <c r="F9" s="72">
        <v>80.61</v>
      </c>
      <c r="G9" s="62">
        <v>86.12</v>
      </c>
      <c r="H9" s="72">
        <v>91.46</v>
      </c>
      <c r="I9" s="72">
        <v>80.61</v>
      </c>
      <c r="J9" s="62">
        <v>86.12</v>
      </c>
    </row>
    <row r="10" spans="1:10" ht="19.5" customHeight="1">
      <c r="A10" s="395" t="s">
        <v>595</v>
      </c>
      <c r="B10" s="916">
        <v>83.22</v>
      </c>
      <c r="C10" s="916">
        <v>63.46</v>
      </c>
      <c r="D10" s="916">
        <v>73.59</v>
      </c>
      <c r="E10" s="918" t="s">
        <v>1127</v>
      </c>
      <c r="F10" s="916" t="s">
        <v>1127</v>
      </c>
      <c r="G10" s="85" t="s">
        <v>1127</v>
      </c>
      <c r="H10" s="72">
        <v>83.22</v>
      </c>
      <c r="I10" s="72">
        <v>63.46</v>
      </c>
      <c r="J10" s="62">
        <v>73.59</v>
      </c>
    </row>
    <row r="11" spans="1:10" ht="19.5" customHeight="1">
      <c r="A11" s="74" t="s">
        <v>597</v>
      </c>
      <c r="B11" s="916">
        <v>77.430000000000007</v>
      </c>
      <c r="C11" s="916">
        <v>52.87</v>
      </c>
      <c r="D11" s="916">
        <v>65.39</v>
      </c>
      <c r="E11" s="918">
        <v>84.54</v>
      </c>
      <c r="F11" s="72">
        <v>69.52</v>
      </c>
      <c r="G11" s="62">
        <v>77.290000000000006</v>
      </c>
      <c r="H11" s="72">
        <v>77.63</v>
      </c>
      <c r="I11" s="72">
        <v>53.33</v>
      </c>
      <c r="J11" s="62">
        <v>65.73</v>
      </c>
    </row>
    <row r="12" spans="1:10" ht="19.5" customHeight="1">
      <c r="A12" s="395" t="s">
        <v>598</v>
      </c>
      <c r="B12" s="916">
        <v>73.83</v>
      </c>
      <c r="C12" s="916">
        <v>48.45</v>
      </c>
      <c r="D12" s="916">
        <v>61.45</v>
      </c>
      <c r="E12" s="918" t="s">
        <v>1127</v>
      </c>
      <c r="F12" s="916" t="s">
        <v>1127</v>
      </c>
      <c r="G12" s="85" t="s">
        <v>1127</v>
      </c>
      <c r="H12" s="72">
        <v>73.83</v>
      </c>
      <c r="I12" s="72">
        <v>48.45</v>
      </c>
      <c r="J12" s="62">
        <v>61.45</v>
      </c>
    </row>
    <row r="13" spans="1:10" ht="19.5" customHeight="1">
      <c r="A13" s="395" t="s">
        <v>599</v>
      </c>
      <c r="B13" s="916">
        <v>77.88</v>
      </c>
      <c r="C13" s="916">
        <v>54.98</v>
      </c>
      <c r="D13" s="916">
        <v>66.83</v>
      </c>
      <c r="E13" s="918" t="s">
        <v>1127</v>
      </c>
      <c r="F13" s="916" t="s">
        <v>1127</v>
      </c>
      <c r="G13" s="85" t="s">
        <v>1127</v>
      </c>
      <c r="H13" s="72">
        <v>77.88</v>
      </c>
      <c r="I13" s="72">
        <v>54.98</v>
      </c>
      <c r="J13" s="62">
        <v>66.83</v>
      </c>
    </row>
    <row r="14" spans="1:10" ht="19.5" customHeight="1">
      <c r="A14" s="395" t="s">
        <v>771</v>
      </c>
      <c r="B14" s="916">
        <v>79.790000000000006</v>
      </c>
      <c r="C14" s="916">
        <v>55.75</v>
      </c>
      <c r="D14" s="916">
        <v>68.11</v>
      </c>
      <c r="E14" s="918" t="s">
        <v>1127</v>
      </c>
      <c r="F14" s="916" t="s">
        <v>1127</v>
      </c>
      <c r="G14" s="85" t="s">
        <v>1127</v>
      </c>
      <c r="H14" s="72">
        <v>79.790000000000006</v>
      </c>
      <c r="I14" s="72">
        <v>55.75</v>
      </c>
      <c r="J14" s="62">
        <v>68.11</v>
      </c>
    </row>
    <row r="15" spans="1:10" ht="19.5" customHeight="1">
      <c r="A15" s="395" t="s">
        <v>600</v>
      </c>
      <c r="B15" s="916">
        <v>80</v>
      </c>
      <c r="C15" s="916">
        <v>59.83</v>
      </c>
      <c r="D15" s="916">
        <v>70.2</v>
      </c>
      <c r="E15" s="918">
        <v>87.85</v>
      </c>
      <c r="F15" s="72">
        <v>74.959999999999994</v>
      </c>
      <c r="G15" s="62">
        <v>81.53</v>
      </c>
      <c r="H15" s="72">
        <v>81.010000000000005</v>
      </c>
      <c r="I15" s="72">
        <v>61.81</v>
      </c>
      <c r="J15" s="62">
        <v>71.67</v>
      </c>
    </row>
    <row r="16" spans="1:10" ht="19.5" customHeight="1">
      <c r="A16" s="395" t="s">
        <v>602</v>
      </c>
      <c r="B16" s="916">
        <v>75.44</v>
      </c>
      <c r="C16" s="916">
        <v>55.81</v>
      </c>
      <c r="D16" s="916">
        <v>65.819999999999993</v>
      </c>
      <c r="E16" s="918" t="s">
        <v>1127</v>
      </c>
      <c r="F16" s="916" t="s">
        <v>1127</v>
      </c>
      <c r="G16" s="85" t="s">
        <v>1127</v>
      </c>
      <c r="H16" s="72">
        <v>75.44</v>
      </c>
      <c r="I16" s="72">
        <v>55.81</v>
      </c>
      <c r="J16" s="62">
        <v>65.819999999999993</v>
      </c>
    </row>
    <row r="17" spans="1:10" ht="19.5" customHeight="1">
      <c r="A17" s="303" t="s">
        <v>273</v>
      </c>
      <c r="B17" s="916">
        <v>80.83</v>
      </c>
      <c r="C17" s="916">
        <v>57.69</v>
      </c>
      <c r="D17" s="916">
        <v>69.48</v>
      </c>
      <c r="E17" s="917">
        <v>88.16</v>
      </c>
      <c r="F17" s="78">
        <v>74.91</v>
      </c>
      <c r="G17" s="146">
        <v>81.7</v>
      </c>
      <c r="H17" s="78">
        <v>81.02</v>
      </c>
      <c r="I17" s="78">
        <v>58.12</v>
      </c>
      <c r="J17" s="146">
        <v>69.790000000000006</v>
      </c>
    </row>
    <row r="18" spans="1:10" ht="19.5" customHeight="1">
      <c r="A18" s="395" t="s">
        <v>605</v>
      </c>
      <c r="B18" s="916">
        <v>79.87</v>
      </c>
      <c r="C18" s="916">
        <v>54.25</v>
      </c>
      <c r="D18" s="916">
        <v>67.42</v>
      </c>
      <c r="E18" s="917" t="s">
        <v>1127</v>
      </c>
      <c r="F18" s="67" t="s">
        <v>1127</v>
      </c>
      <c r="G18" s="279" t="s">
        <v>1127</v>
      </c>
      <c r="H18" s="72">
        <v>79.87</v>
      </c>
      <c r="I18" s="72">
        <v>54.25</v>
      </c>
      <c r="J18" s="62">
        <v>67.42</v>
      </c>
    </row>
    <row r="19" spans="1:10" ht="19.5" customHeight="1">
      <c r="A19" s="395" t="s">
        <v>604</v>
      </c>
      <c r="B19" s="916">
        <v>82.19</v>
      </c>
      <c r="C19" s="916">
        <v>57.79</v>
      </c>
      <c r="D19" s="916">
        <v>70.31</v>
      </c>
      <c r="E19" s="918">
        <v>93.53</v>
      </c>
      <c r="F19" s="72">
        <v>80.959999999999994</v>
      </c>
      <c r="G19" s="62">
        <v>87.4</v>
      </c>
      <c r="H19" s="72">
        <v>83.43</v>
      </c>
      <c r="I19" s="72">
        <v>60.33</v>
      </c>
      <c r="J19" s="62">
        <v>72.180000000000007</v>
      </c>
    </row>
    <row r="20" spans="1:10" ht="19.5" customHeight="1">
      <c r="A20" s="395" t="s">
        <v>368</v>
      </c>
      <c r="B20" s="916">
        <v>77.8</v>
      </c>
      <c r="C20" s="916">
        <v>49.86</v>
      </c>
      <c r="D20" s="916">
        <v>64.180000000000007</v>
      </c>
      <c r="E20" s="918" t="s">
        <v>1127</v>
      </c>
      <c r="F20" s="916" t="s">
        <v>1127</v>
      </c>
      <c r="G20" s="85" t="s">
        <v>1127</v>
      </c>
      <c r="H20" s="72">
        <v>77.8</v>
      </c>
      <c r="I20" s="72">
        <v>49.86</v>
      </c>
      <c r="J20" s="62">
        <v>64.180000000000007</v>
      </c>
    </row>
    <row r="21" spans="1:10" ht="19.5" customHeight="1">
      <c r="A21" s="395" t="s">
        <v>606</v>
      </c>
      <c r="B21" s="916">
        <v>81.03</v>
      </c>
      <c r="C21" s="916">
        <v>55.75</v>
      </c>
      <c r="D21" s="916">
        <v>68.53</v>
      </c>
      <c r="E21" s="918" t="s">
        <v>1127</v>
      </c>
      <c r="F21" s="916" t="s">
        <v>1127</v>
      </c>
      <c r="G21" s="85" t="s">
        <v>1127</v>
      </c>
      <c r="H21" s="72">
        <v>81.03</v>
      </c>
      <c r="I21" s="72">
        <v>55.75</v>
      </c>
      <c r="J21" s="62">
        <v>68.53</v>
      </c>
    </row>
    <row r="22" spans="1:10" ht="19.5" customHeight="1">
      <c r="A22" s="395" t="s">
        <v>347</v>
      </c>
      <c r="B22" s="916">
        <v>80.34</v>
      </c>
      <c r="C22" s="916">
        <v>61.13</v>
      </c>
      <c r="D22" s="916">
        <v>70.87</v>
      </c>
      <c r="E22" s="918" t="s">
        <v>1127</v>
      </c>
      <c r="F22" s="916" t="s">
        <v>1127</v>
      </c>
      <c r="G22" s="85" t="s">
        <v>1127</v>
      </c>
      <c r="H22" s="72">
        <v>80.34</v>
      </c>
      <c r="I22" s="72">
        <v>61.13</v>
      </c>
      <c r="J22" s="62">
        <v>70.87</v>
      </c>
    </row>
    <row r="23" spans="1:10" ht="19.5" customHeight="1">
      <c r="A23" s="395" t="s">
        <v>369</v>
      </c>
      <c r="B23" s="916">
        <v>78.45</v>
      </c>
      <c r="C23" s="916">
        <v>57.88</v>
      </c>
      <c r="D23" s="916">
        <v>68.37</v>
      </c>
      <c r="E23" s="918">
        <v>76.8</v>
      </c>
      <c r="F23" s="72">
        <v>62.1</v>
      </c>
      <c r="G23" s="62">
        <v>69.66</v>
      </c>
      <c r="H23" s="72">
        <v>78.36</v>
      </c>
      <c r="I23" s="72">
        <v>58.09</v>
      </c>
      <c r="J23" s="62">
        <v>68.44</v>
      </c>
    </row>
    <row r="24" spans="1:10" ht="19.5" customHeight="1">
      <c r="A24" s="395" t="s">
        <v>349</v>
      </c>
      <c r="B24" s="916">
        <v>82.24</v>
      </c>
      <c r="C24" s="916">
        <v>59.08</v>
      </c>
      <c r="D24" s="916">
        <v>70.849999999999994</v>
      </c>
      <c r="E24" s="918">
        <v>90.08</v>
      </c>
      <c r="F24" s="72">
        <v>76.95</v>
      </c>
      <c r="G24" s="62">
        <v>83.67</v>
      </c>
      <c r="H24" s="72">
        <v>82.53</v>
      </c>
      <c r="I24" s="72">
        <v>59.74</v>
      </c>
      <c r="J24" s="62">
        <v>71.33</v>
      </c>
    </row>
    <row r="25" spans="1:10" ht="19.5" customHeight="1">
      <c r="A25" s="395" t="s">
        <v>370</v>
      </c>
      <c r="B25" s="916">
        <v>84.63</v>
      </c>
      <c r="C25" s="916">
        <v>63.62</v>
      </c>
      <c r="D25" s="916">
        <v>74.25</v>
      </c>
      <c r="E25" s="918" t="s">
        <v>1127</v>
      </c>
      <c r="F25" s="916" t="s">
        <v>1127</v>
      </c>
      <c r="G25" s="85" t="s">
        <v>1127</v>
      </c>
      <c r="H25" s="72">
        <v>84.63</v>
      </c>
      <c r="I25" s="72">
        <v>63.62</v>
      </c>
      <c r="J25" s="62">
        <v>74.25</v>
      </c>
    </row>
    <row r="26" spans="1:10" ht="19.5" customHeight="1">
      <c r="A26" s="303" t="s">
        <v>372</v>
      </c>
      <c r="B26" s="916">
        <v>78.52</v>
      </c>
      <c r="C26" s="916">
        <v>61.66</v>
      </c>
      <c r="D26" s="916">
        <v>70.27</v>
      </c>
      <c r="E26" s="917">
        <v>89.75</v>
      </c>
      <c r="F26" s="78">
        <v>77.92</v>
      </c>
      <c r="G26" s="146">
        <v>83.91</v>
      </c>
      <c r="H26" s="78">
        <v>79.61</v>
      </c>
      <c r="I26" s="78">
        <v>63.26</v>
      </c>
      <c r="J26" s="146">
        <v>71.599999999999994</v>
      </c>
    </row>
    <row r="27" spans="1:10" ht="19.5" customHeight="1">
      <c r="A27" s="395" t="s">
        <v>350</v>
      </c>
      <c r="B27" s="916">
        <v>75.510000000000005</v>
      </c>
      <c r="C27" s="916">
        <v>56.69</v>
      </c>
      <c r="D27" s="916">
        <v>66.3</v>
      </c>
      <c r="E27" s="917" t="s">
        <v>1127</v>
      </c>
      <c r="F27" s="67" t="s">
        <v>1127</v>
      </c>
      <c r="G27" s="279" t="s">
        <v>1127</v>
      </c>
      <c r="H27" s="72">
        <v>75.510000000000005</v>
      </c>
      <c r="I27" s="72">
        <v>56.69</v>
      </c>
      <c r="J27" s="62">
        <v>66.3</v>
      </c>
    </row>
    <row r="28" spans="1:10" ht="19.5" customHeight="1">
      <c r="A28" s="395" t="s">
        <v>356</v>
      </c>
      <c r="B28" s="916" t="s">
        <v>1127</v>
      </c>
      <c r="C28" s="916" t="s">
        <v>1127</v>
      </c>
      <c r="D28" s="916" t="s">
        <v>1127</v>
      </c>
      <c r="E28" s="918">
        <v>88.58</v>
      </c>
      <c r="F28" s="72">
        <v>76.62</v>
      </c>
      <c r="G28" s="62">
        <v>82.63</v>
      </c>
      <c r="H28" s="72">
        <v>88.58</v>
      </c>
      <c r="I28" s="72">
        <v>76.62</v>
      </c>
      <c r="J28" s="62">
        <v>82.63</v>
      </c>
    </row>
    <row r="29" spans="1:10" ht="19.5" customHeight="1">
      <c r="A29" s="395" t="s">
        <v>351</v>
      </c>
      <c r="B29" s="916">
        <v>83.04</v>
      </c>
      <c r="C29" s="916">
        <v>65.739999999999995</v>
      </c>
      <c r="D29" s="916">
        <v>74.569999999999993</v>
      </c>
      <c r="E29" s="918" t="s">
        <v>1127</v>
      </c>
      <c r="F29" s="916" t="s">
        <v>1127</v>
      </c>
      <c r="G29" s="85" t="s">
        <v>1127</v>
      </c>
      <c r="H29" s="72">
        <v>83.04</v>
      </c>
      <c r="I29" s="72">
        <v>65.739999999999995</v>
      </c>
      <c r="J29" s="62">
        <v>74.569999999999993</v>
      </c>
    </row>
    <row r="30" spans="1:10" ht="19.5" customHeight="1">
      <c r="A30" s="395" t="s">
        <v>352</v>
      </c>
      <c r="B30" s="916">
        <v>84.74</v>
      </c>
      <c r="C30" s="916">
        <v>70.17</v>
      </c>
      <c r="D30" s="916">
        <v>77.62</v>
      </c>
      <c r="E30" s="918">
        <v>90.39</v>
      </c>
      <c r="F30" s="72">
        <v>81.760000000000005</v>
      </c>
      <c r="G30" s="62">
        <v>86.13</v>
      </c>
      <c r="H30" s="72">
        <v>85</v>
      </c>
      <c r="I30" s="72">
        <v>70.7</v>
      </c>
      <c r="J30" s="62">
        <v>78.010000000000005</v>
      </c>
    </row>
    <row r="31" spans="1:10" ht="19.5" customHeight="1">
      <c r="A31" s="395" t="s">
        <v>353</v>
      </c>
      <c r="B31" s="916">
        <v>75.23</v>
      </c>
      <c r="C31" s="916">
        <v>56.55</v>
      </c>
      <c r="D31" s="916">
        <v>66.16</v>
      </c>
      <c r="E31" s="918" t="s">
        <v>1127</v>
      </c>
      <c r="F31" s="916" t="s">
        <v>1127</v>
      </c>
      <c r="G31" s="85" t="s">
        <v>1127</v>
      </c>
      <c r="H31" s="72">
        <v>75.23</v>
      </c>
      <c r="I31" s="72">
        <v>56.55</v>
      </c>
      <c r="J31" s="62">
        <v>66.16</v>
      </c>
    </row>
    <row r="32" spans="1:10" ht="19.5" customHeight="1">
      <c r="A32" s="395" t="s">
        <v>362</v>
      </c>
      <c r="B32" s="916" t="s">
        <v>1127</v>
      </c>
      <c r="C32" s="916" t="s">
        <v>1127</v>
      </c>
      <c r="D32" s="916" t="s">
        <v>1127</v>
      </c>
      <c r="E32" s="918">
        <v>92.22</v>
      </c>
      <c r="F32" s="72">
        <v>79.900000000000006</v>
      </c>
      <c r="G32" s="62">
        <v>86.25</v>
      </c>
      <c r="H32" s="72">
        <v>92.22</v>
      </c>
      <c r="I32" s="72">
        <v>79.900000000000006</v>
      </c>
      <c r="J32" s="62">
        <v>86.25</v>
      </c>
    </row>
    <row r="33" spans="1:10" ht="19.5" customHeight="1">
      <c r="A33" s="395" t="s">
        <v>354</v>
      </c>
      <c r="B33" s="916">
        <v>73.459999999999994</v>
      </c>
      <c r="C33" s="916">
        <v>56</v>
      </c>
      <c r="D33" s="916">
        <v>64.87</v>
      </c>
      <c r="E33" s="917" t="s">
        <v>1127</v>
      </c>
      <c r="F33" s="67" t="s">
        <v>1127</v>
      </c>
      <c r="G33" s="279" t="s">
        <v>1127</v>
      </c>
      <c r="H33" s="72">
        <v>73.459999999999994</v>
      </c>
      <c r="I33" s="72">
        <v>56</v>
      </c>
      <c r="J33" s="62">
        <v>64.87</v>
      </c>
    </row>
    <row r="34" spans="1:10" ht="19.5" customHeight="1">
      <c r="A34" s="395" t="s">
        <v>355</v>
      </c>
      <c r="B34" s="916">
        <v>78.959999999999994</v>
      </c>
      <c r="C34" s="916">
        <v>64.23</v>
      </c>
      <c r="D34" s="916">
        <v>71.760000000000005</v>
      </c>
      <c r="E34" s="919" t="s">
        <v>1127</v>
      </c>
      <c r="F34" s="920" t="s">
        <v>1127</v>
      </c>
      <c r="G34" s="921" t="s">
        <v>1127</v>
      </c>
      <c r="H34" s="72">
        <v>78.959999999999994</v>
      </c>
      <c r="I34" s="72">
        <v>64.23</v>
      </c>
      <c r="J34" s="62">
        <v>71.760000000000005</v>
      </c>
    </row>
    <row r="35" spans="1:10" s="15" customFormat="1" ht="17.100000000000001" customHeight="1">
      <c r="A35" s="922" t="s">
        <v>10</v>
      </c>
      <c r="B35" s="923">
        <v>79.099999999999994</v>
      </c>
      <c r="C35" s="924">
        <v>58.31</v>
      </c>
      <c r="D35" s="925">
        <v>68.930000000000007</v>
      </c>
      <c r="E35" s="923">
        <v>90.15</v>
      </c>
      <c r="F35" s="460">
        <v>78.5</v>
      </c>
      <c r="G35" s="315">
        <v>84.42</v>
      </c>
      <c r="H35" s="357">
        <v>80.05</v>
      </c>
      <c r="I35" s="316">
        <v>60.05</v>
      </c>
      <c r="J35" s="315">
        <v>70.260000000000005</v>
      </c>
    </row>
    <row r="36" spans="1:10" ht="17.100000000000001" customHeight="1">
      <c r="A36" s="926" t="s">
        <v>11</v>
      </c>
      <c r="B36" s="927"/>
      <c r="C36" s="927"/>
      <c r="D36" s="928"/>
      <c r="E36" s="911"/>
      <c r="F36" s="911"/>
      <c r="H36" s="911"/>
      <c r="I36" s="21"/>
      <c r="J36" s="929" t="s">
        <v>1554</v>
      </c>
    </row>
    <row r="37" spans="1:10" ht="13.5" customHeight="1">
      <c r="A37" s="930"/>
      <c r="B37" s="930"/>
      <c r="C37" s="930"/>
      <c r="D37" s="21"/>
      <c r="E37" s="21"/>
      <c r="F37" s="21"/>
      <c r="H37" s="21"/>
      <c r="I37" s="21"/>
      <c r="J37" s="21"/>
    </row>
    <row r="38" spans="1:10">
      <c r="A38" s="21"/>
      <c r="B38" s="21"/>
      <c r="C38" s="21"/>
      <c r="D38" s="21"/>
      <c r="E38" s="21"/>
      <c r="F38" s="21"/>
      <c r="G38" s="21"/>
      <c r="H38" s="21"/>
      <c r="I38" s="21"/>
      <c r="J38" s="21"/>
    </row>
    <row r="39" spans="1:10">
      <c r="A39" s="21"/>
      <c r="B39" s="21"/>
      <c r="C39" s="21"/>
      <c r="D39" s="21"/>
      <c r="E39" s="21"/>
      <c r="F39" s="21"/>
      <c r="G39" s="21"/>
      <c r="H39" s="21"/>
      <c r="I39" s="21"/>
      <c r="J39" s="21"/>
    </row>
    <row r="40" spans="1:10">
      <c r="A40" s="21"/>
      <c r="B40" s="21"/>
      <c r="C40" s="21"/>
      <c r="D40" s="21"/>
      <c r="E40" s="21"/>
      <c r="F40" s="21"/>
      <c r="G40" s="21"/>
      <c r="H40" s="21"/>
      <c r="I40" s="21"/>
      <c r="J40" s="21"/>
    </row>
    <row r="41" spans="1:10">
      <c r="A41" s="21"/>
      <c r="B41" s="21"/>
      <c r="C41" s="21"/>
      <c r="D41" s="21"/>
      <c r="E41" s="21"/>
      <c r="F41" s="21"/>
      <c r="G41" s="21"/>
      <c r="H41" s="21"/>
      <c r="I41" s="21"/>
      <c r="J41" s="21"/>
    </row>
    <row r="42" spans="1:10">
      <c r="A42" s="21"/>
      <c r="B42" s="21"/>
      <c r="C42" s="21"/>
      <c r="D42" s="21"/>
      <c r="E42" s="21"/>
      <c r="F42" s="21"/>
      <c r="G42" s="21"/>
      <c r="H42" s="21"/>
      <c r="I42" s="21"/>
      <c r="J42" s="21"/>
    </row>
    <row r="43" spans="1:10">
      <c r="A43" s="21"/>
      <c r="B43" s="21"/>
      <c r="C43" s="21"/>
      <c r="D43" s="21"/>
      <c r="E43" s="21"/>
      <c r="F43" s="21"/>
      <c r="G43" s="21"/>
      <c r="H43" s="21"/>
      <c r="I43" s="21"/>
      <c r="J43" s="21"/>
    </row>
  </sheetData>
  <mergeCells count="6">
    <mergeCell ref="A1:J1"/>
    <mergeCell ref="A2:J2"/>
    <mergeCell ref="A4:A5"/>
    <mergeCell ref="B4:D4"/>
    <mergeCell ref="E4:G4"/>
    <mergeCell ref="H4:J4"/>
  </mergeCells>
  <phoneticPr fontId="0" type="noConversion"/>
  <printOptions horizontalCentered="1"/>
  <pageMargins left="0.22" right="0.1" top="0.87" bottom="0.53" header="0.55000000000000004" footer="0.1"/>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sheetPr codeName="Sheet35"/>
  <dimension ref="A1:E43"/>
  <sheetViews>
    <sheetView topLeftCell="B19" workbookViewId="0">
      <selection activeCell="M30" sqref="M30"/>
    </sheetView>
  </sheetViews>
  <sheetFormatPr defaultRowHeight="12.4" customHeight="1"/>
  <cols>
    <col min="1" max="1" width="2.42578125" style="172" hidden="1" customWidth="1"/>
    <col min="2" max="2" width="23" style="172" customWidth="1"/>
    <col min="3" max="4" width="17.7109375" style="172" customWidth="1"/>
    <col min="5" max="5" width="22.5703125" style="172" customWidth="1"/>
    <col min="6" max="16384" width="9.140625" style="172"/>
  </cols>
  <sheetData>
    <row r="1" spans="2:5" ht="13.5" customHeight="1">
      <c r="B1" s="1181" t="s">
        <v>1577</v>
      </c>
      <c r="C1" s="1181"/>
      <c r="D1" s="1181"/>
      <c r="E1" s="1181"/>
    </row>
    <row r="2" spans="2:5" s="206" customFormat="1" ht="33.75" customHeight="1">
      <c r="B2" s="1226" t="str">
        <f>CONCATENATE("Public Libraries, Reading Rooms and 
Mass Literacy Centres in the district of ",District!A1)</f>
        <v>Public Libraries, Reading Rooms and 
Mass Literacy Centres in the district of Bankura</v>
      </c>
      <c r="C2" s="1226"/>
      <c r="D2" s="1226"/>
      <c r="E2" s="1226"/>
    </row>
    <row r="3" spans="2:5" ht="15" customHeight="1">
      <c r="B3" s="259"/>
      <c r="C3" s="260"/>
      <c r="D3" s="260"/>
      <c r="E3" s="114" t="s">
        <v>452</v>
      </c>
    </row>
    <row r="4" spans="2:5" ht="39.75" customHeight="1">
      <c r="B4" s="274" t="s">
        <v>304</v>
      </c>
      <c r="C4" s="207" t="s">
        <v>676</v>
      </c>
      <c r="D4" s="207" t="s">
        <v>677</v>
      </c>
      <c r="E4" s="207" t="s">
        <v>1538</v>
      </c>
    </row>
    <row r="5" spans="2:5" ht="15" customHeight="1">
      <c r="B5" s="221" t="s">
        <v>418</v>
      </c>
      <c r="C5" s="213" t="s">
        <v>419</v>
      </c>
      <c r="D5" s="213" t="s">
        <v>420</v>
      </c>
      <c r="E5" s="213" t="s">
        <v>421</v>
      </c>
    </row>
    <row r="6" spans="2:5" ht="17.25" customHeight="1">
      <c r="B6" s="33" t="str">
        <f>District!B16</f>
        <v>2009-10</v>
      </c>
      <c r="C6" s="189">
        <v>130</v>
      </c>
      <c r="D6" s="33">
        <v>141</v>
      </c>
      <c r="E6" s="39">
        <v>2325</v>
      </c>
    </row>
    <row r="7" spans="2:5" ht="17.25" customHeight="1">
      <c r="B7" s="33" t="str">
        <f>District!B17</f>
        <v>2010-11</v>
      </c>
      <c r="C7" s="189">
        <v>130</v>
      </c>
      <c r="D7" s="33">
        <v>130</v>
      </c>
      <c r="E7" s="39">
        <v>482</v>
      </c>
    </row>
    <row r="8" spans="2:5" ht="17.25" customHeight="1">
      <c r="B8" s="33" t="str">
        <f>District!B18</f>
        <v>2011-12</v>
      </c>
      <c r="C8" s="189">
        <v>130</v>
      </c>
      <c r="D8" s="33">
        <v>130</v>
      </c>
      <c r="E8" s="39">
        <v>136</v>
      </c>
    </row>
    <row r="9" spans="2:5" ht="17.25" customHeight="1">
      <c r="B9" s="29" t="str">
        <f>District!B19</f>
        <v>2012-13</v>
      </c>
      <c r="C9" s="246">
        <v>130</v>
      </c>
      <c r="D9" s="33">
        <v>130</v>
      </c>
      <c r="E9" s="33" t="s">
        <v>1098</v>
      </c>
    </row>
    <row r="10" spans="2:5" ht="17.25" customHeight="1">
      <c r="B10" s="33" t="str">
        <f>District!B20</f>
        <v>2013-14</v>
      </c>
      <c r="C10" s="40">
        <f>SUM(C12,C22,C31)</f>
        <v>130</v>
      </c>
      <c r="D10" s="41">
        <f>SUM(D12,D22,D31)</f>
        <v>130</v>
      </c>
      <c r="E10" s="41" t="str">
        <f>SUM(E12,E22,E31) &amp; "*"</f>
        <v>150*</v>
      </c>
    </row>
    <row r="11" spans="2:5" ht="25.5" customHeight="1">
      <c r="B11" s="263" t="s">
        <v>1537</v>
      </c>
      <c r="C11" s="1198" t="str">
        <f>"Year :  " &amp; B10</f>
        <v>Year :  2013-14</v>
      </c>
      <c r="D11" s="1306"/>
      <c r="E11" s="1199"/>
    </row>
    <row r="12" spans="2:5" ht="17.25" customHeight="1">
      <c r="B12" s="394" t="s">
        <v>717</v>
      </c>
      <c r="C12" s="275">
        <f>SUM(C13:C21)</f>
        <v>50</v>
      </c>
      <c r="D12" s="369">
        <f>SUM(D13:D21)</f>
        <v>50</v>
      </c>
      <c r="E12" s="44">
        <f>SUM(E13:E21)</f>
        <v>70</v>
      </c>
    </row>
    <row r="13" spans="2:5" ht="17.25" customHeight="1">
      <c r="B13" s="395" t="s">
        <v>596</v>
      </c>
      <c r="C13" s="329">
        <v>5</v>
      </c>
      <c r="D13" s="280">
        <v>5</v>
      </c>
      <c r="E13" s="184">
        <v>6</v>
      </c>
    </row>
    <row r="14" spans="2:5" ht="17.25" customHeight="1">
      <c r="B14" s="395" t="s">
        <v>365</v>
      </c>
      <c r="C14" s="329">
        <v>3</v>
      </c>
      <c r="D14" s="280">
        <v>3</v>
      </c>
      <c r="E14" s="184" t="s">
        <v>1127</v>
      </c>
    </row>
    <row r="15" spans="2:5" ht="17.25" customHeight="1">
      <c r="B15" s="395" t="s">
        <v>595</v>
      </c>
      <c r="C15" s="329">
        <v>5</v>
      </c>
      <c r="D15" s="280">
        <v>5</v>
      </c>
      <c r="E15" s="184">
        <v>5</v>
      </c>
    </row>
    <row r="16" spans="2:5" ht="17.25" customHeight="1">
      <c r="B16" s="304" t="s">
        <v>597</v>
      </c>
      <c r="C16" s="329">
        <v>7</v>
      </c>
      <c r="D16" s="280">
        <v>7</v>
      </c>
      <c r="E16" s="184">
        <v>13</v>
      </c>
    </row>
    <row r="17" spans="2:5" ht="17.25" customHeight="1">
      <c r="B17" s="395" t="s">
        <v>598</v>
      </c>
      <c r="C17" s="329">
        <v>6</v>
      </c>
      <c r="D17" s="280">
        <v>6</v>
      </c>
      <c r="E17" s="184">
        <v>8</v>
      </c>
    </row>
    <row r="18" spans="2:5" ht="17.25" customHeight="1">
      <c r="B18" s="395" t="s">
        <v>599</v>
      </c>
      <c r="C18" s="329">
        <v>5</v>
      </c>
      <c r="D18" s="280">
        <v>5</v>
      </c>
      <c r="E18" s="184">
        <v>5</v>
      </c>
    </row>
    <row r="19" spans="2:5" ht="17.25" customHeight="1">
      <c r="B19" s="74" t="s">
        <v>771</v>
      </c>
      <c r="C19" s="189">
        <v>5</v>
      </c>
      <c r="D19" s="183">
        <v>5</v>
      </c>
      <c r="E19" s="184">
        <v>10</v>
      </c>
    </row>
    <row r="20" spans="2:5" ht="17.25" customHeight="1">
      <c r="B20" s="74" t="s">
        <v>600</v>
      </c>
      <c r="C20" s="189">
        <v>7</v>
      </c>
      <c r="D20" s="183">
        <v>7</v>
      </c>
      <c r="E20" s="184">
        <v>9</v>
      </c>
    </row>
    <row r="21" spans="2:5" ht="17.25" customHeight="1">
      <c r="B21" s="74" t="s">
        <v>602</v>
      </c>
      <c r="C21" s="189">
        <v>7</v>
      </c>
      <c r="D21" s="183">
        <v>7</v>
      </c>
      <c r="E21" s="184">
        <v>14</v>
      </c>
    </row>
    <row r="22" spans="2:5" ht="17.25" customHeight="1">
      <c r="B22" s="394" t="s">
        <v>366</v>
      </c>
      <c r="C22" s="275">
        <f>SUM(C23:C30)</f>
        <v>42</v>
      </c>
      <c r="D22" s="43">
        <f>SUM(D23:D30)</f>
        <v>42</v>
      </c>
      <c r="E22" s="44">
        <f>SUM(E23:E30)</f>
        <v>51</v>
      </c>
    </row>
    <row r="23" spans="2:5" ht="17.25" customHeight="1">
      <c r="B23" s="395" t="s">
        <v>605</v>
      </c>
      <c r="C23" s="329">
        <v>5</v>
      </c>
      <c r="D23" s="183">
        <v>5</v>
      </c>
      <c r="E23" s="184">
        <v>7</v>
      </c>
    </row>
    <row r="24" spans="2:5" ht="17.25" customHeight="1">
      <c r="B24" s="395" t="s">
        <v>604</v>
      </c>
      <c r="C24" s="329">
        <v>5</v>
      </c>
      <c r="D24" s="183">
        <v>5</v>
      </c>
      <c r="E24" s="184" t="s">
        <v>1127</v>
      </c>
    </row>
    <row r="25" spans="2:5" ht="17.25" customHeight="1">
      <c r="B25" s="395" t="s">
        <v>368</v>
      </c>
      <c r="C25" s="329">
        <v>5</v>
      </c>
      <c r="D25" s="183">
        <v>5</v>
      </c>
      <c r="E25" s="184">
        <v>5</v>
      </c>
    </row>
    <row r="26" spans="2:5" ht="17.25" customHeight="1">
      <c r="B26" s="395" t="s">
        <v>606</v>
      </c>
      <c r="C26" s="329">
        <v>5</v>
      </c>
      <c r="D26" s="183">
        <v>5</v>
      </c>
      <c r="E26" s="184">
        <v>7</v>
      </c>
    </row>
    <row r="27" spans="2:5" ht="17.25" customHeight="1">
      <c r="B27" s="395" t="s">
        <v>347</v>
      </c>
      <c r="C27" s="329">
        <v>6</v>
      </c>
      <c r="D27" s="183">
        <v>6</v>
      </c>
      <c r="E27" s="184">
        <v>9</v>
      </c>
    </row>
    <row r="28" spans="2:5" ht="17.25" customHeight="1">
      <c r="B28" s="395" t="s">
        <v>369</v>
      </c>
      <c r="C28" s="329">
        <v>5</v>
      </c>
      <c r="D28" s="183">
        <v>5</v>
      </c>
      <c r="E28" s="184">
        <v>7</v>
      </c>
    </row>
    <row r="29" spans="2:5" ht="17.25" customHeight="1">
      <c r="B29" s="395" t="s">
        <v>349</v>
      </c>
      <c r="C29" s="329">
        <v>6</v>
      </c>
      <c r="D29" s="183">
        <v>6</v>
      </c>
      <c r="E29" s="184">
        <v>10</v>
      </c>
    </row>
    <row r="30" spans="2:5" ht="17.25" customHeight="1">
      <c r="B30" s="395" t="s">
        <v>370</v>
      </c>
      <c r="C30" s="329">
        <v>5</v>
      </c>
      <c r="D30" s="183">
        <v>5</v>
      </c>
      <c r="E30" s="184">
        <v>6</v>
      </c>
    </row>
    <row r="31" spans="2:5" ht="17.25" customHeight="1">
      <c r="B31" s="394" t="s">
        <v>371</v>
      </c>
      <c r="C31" s="275">
        <f>SUM(C32:C39)</f>
        <v>38</v>
      </c>
      <c r="D31" s="43">
        <f>SUM(D32:D39)</f>
        <v>38</v>
      </c>
      <c r="E31" s="44">
        <f>SUM(E32:E39)</f>
        <v>29</v>
      </c>
    </row>
    <row r="32" spans="2:5" ht="17.25" customHeight="1">
      <c r="B32" s="395" t="s">
        <v>350</v>
      </c>
      <c r="C32" s="329">
        <v>6</v>
      </c>
      <c r="D32" s="183">
        <v>6</v>
      </c>
      <c r="E32" s="184">
        <v>8</v>
      </c>
    </row>
    <row r="33" spans="2:5" ht="17.25" customHeight="1">
      <c r="B33" s="395" t="s">
        <v>356</v>
      </c>
      <c r="C33" s="329">
        <v>2</v>
      </c>
      <c r="D33" s="183">
        <v>2</v>
      </c>
      <c r="E33" s="184" t="s">
        <v>1127</v>
      </c>
    </row>
    <row r="34" spans="2:5" ht="17.25" customHeight="1">
      <c r="B34" s="395" t="s">
        <v>351</v>
      </c>
      <c r="C34" s="329">
        <v>6</v>
      </c>
      <c r="D34" s="183">
        <v>6</v>
      </c>
      <c r="E34" s="184">
        <v>8</v>
      </c>
    </row>
    <row r="35" spans="2:5" ht="17.25" customHeight="1">
      <c r="B35" s="395" t="s">
        <v>352</v>
      </c>
      <c r="C35" s="329">
        <v>5</v>
      </c>
      <c r="D35" s="183">
        <v>5</v>
      </c>
      <c r="E35" s="184" t="s">
        <v>1127</v>
      </c>
    </row>
    <row r="36" spans="2:5" ht="17.25" customHeight="1">
      <c r="B36" s="395" t="s">
        <v>353</v>
      </c>
      <c r="C36" s="329">
        <v>6</v>
      </c>
      <c r="D36" s="183">
        <v>6</v>
      </c>
      <c r="E36" s="184">
        <v>9</v>
      </c>
    </row>
    <row r="37" spans="2:5" ht="17.25" customHeight="1">
      <c r="B37" s="395" t="s">
        <v>362</v>
      </c>
      <c r="C37" s="329">
        <v>1</v>
      </c>
      <c r="D37" s="183">
        <v>1</v>
      </c>
      <c r="E37" s="184" t="s">
        <v>1127</v>
      </c>
    </row>
    <row r="38" spans="2:5" ht="17.25" customHeight="1">
      <c r="B38" s="395" t="s">
        <v>354</v>
      </c>
      <c r="C38" s="329">
        <v>7</v>
      </c>
      <c r="D38" s="183">
        <v>7</v>
      </c>
      <c r="E38" s="184" t="s">
        <v>1127</v>
      </c>
    </row>
    <row r="39" spans="2:5" ht="17.25" customHeight="1">
      <c r="B39" s="396" t="s">
        <v>355</v>
      </c>
      <c r="C39" s="354">
        <v>5</v>
      </c>
      <c r="D39" s="248">
        <v>5</v>
      </c>
      <c r="E39" s="194">
        <v>4</v>
      </c>
    </row>
    <row r="40" spans="2:5" ht="14.25" customHeight="1">
      <c r="B40" s="1367" t="s">
        <v>300</v>
      </c>
      <c r="C40" s="729" t="s">
        <v>487</v>
      </c>
      <c r="D40" s="1359" t="str">
        <f>CONCATENATE("District Social Education Officer, ",District!A1)</f>
        <v>District Social Education Officer, Bankura</v>
      </c>
      <c r="E40" s="1359"/>
    </row>
    <row r="41" spans="2:5" ht="14.25" customHeight="1">
      <c r="B41" s="1314"/>
      <c r="C41" s="729" t="s">
        <v>488</v>
      </c>
      <c r="D41" s="1359" t="s">
        <v>1327</v>
      </c>
      <c r="E41" s="1359"/>
    </row>
    <row r="42" spans="2:5" ht="14.25" customHeight="1">
      <c r="B42" s="1314"/>
      <c r="C42" s="729" t="s">
        <v>497</v>
      </c>
      <c r="D42" s="1359" t="s">
        <v>1326</v>
      </c>
      <c r="E42" s="1359"/>
    </row>
    <row r="43" spans="2:5" ht="12" customHeight="1">
      <c r="C43" s="651"/>
      <c r="D43" s="651" t="s">
        <v>1188</v>
      </c>
      <c r="E43" s="651"/>
    </row>
  </sheetData>
  <mergeCells count="7">
    <mergeCell ref="D42:E42"/>
    <mergeCell ref="C11:E11"/>
    <mergeCell ref="B1:E1"/>
    <mergeCell ref="B2:E2"/>
    <mergeCell ref="D40:E40"/>
    <mergeCell ref="D41:E41"/>
    <mergeCell ref="B40:B42"/>
  </mergeCells>
  <phoneticPr fontId="0" type="noConversion"/>
  <printOptions horizontalCentered="1"/>
  <pageMargins left="0.1" right="0.1" top="0.7" bottom="0.1" header="0.7" footer="0.1"/>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sheetPr codeName="Sheet36"/>
  <dimension ref="A1:E55"/>
  <sheetViews>
    <sheetView workbookViewId="0">
      <selection activeCell="M30" sqref="M30"/>
    </sheetView>
  </sheetViews>
  <sheetFormatPr defaultRowHeight="12.4" customHeight="1"/>
  <cols>
    <col min="1" max="1" width="25" style="172" customWidth="1"/>
    <col min="2" max="2" width="16.5703125" style="172" customWidth="1"/>
    <col min="3" max="3" width="19.5703125" style="172" customWidth="1"/>
    <col min="4" max="4" width="16.42578125" style="172" customWidth="1"/>
    <col min="5" max="5" width="4.5703125" style="172" customWidth="1"/>
    <col min="6" max="16384" width="9.140625" style="172"/>
  </cols>
  <sheetData>
    <row r="1" spans="1:5" ht="13.5" customHeight="1">
      <c r="A1" s="1181" t="s">
        <v>754</v>
      </c>
      <c r="B1" s="1181"/>
      <c r="C1" s="1181"/>
      <c r="D1" s="1181"/>
    </row>
    <row r="2" spans="1:5" s="206" customFormat="1" ht="18" customHeight="1">
      <c r="A2" s="1226" t="str">
        <f>CONCATENATE("Cinema Houses in the district of ",District!A1)</f>
        <v>Cinema Houses in the district of Bankura</v>
      </c>
      <c r="B2" s="1226"/>
      <c r="C2" s="1226"/>
      <c r="D2" s="1226"/>
    </row>
    <row r="3" spans="1:5" ht="45.75" customHeight="1">
      <c r="A3" s="331" t="s">
        <v>304</v>
      </c>
      <c r="B3" s="331" t="s">
        <v>1625</v>
      </c>
      <c r="C3" s="331" t="s">
        <v>1628</v>
      </c>
      <c r="D3" s="263" t="s">
        <v>1257</v>
      </c>
    </row>
    <row r="4" spans="1:5" ht="12.75" customHeight="1">
      <c r="A4" s="462" t="s">
        <v>418</v>
      </c>
      <c r="B4" s="221" t="s">
        <v>419</v>
      </c>
      <c r="C4" s="221" t="s">
        <v>420</v>
      </c>
      <c r="D4" s="213" t="s">
        <v>421</v>
      </c>
    </row>
    <row r="5" spans="1:5" ht="15.95" customHeight="1">
      <c r="A5" s="29" t="str">
        <f>District!B16</f>
        <v>2009-10</v>
      </c>
      <c r="B5" s="245">
        <v>34</v>
      </c>
      <c r="C5" s="117">
        <v>21010</v>
      </c>
      <c r="D5" s="58">
        <v>749146</v>
      </c>
    </row>
    <row r="6" spans="1:5" ht="15.95" customHeight="1">
      <c r="A6" s="29" t="str">
        <f>District!B17</f>
        <v>2010-11</v>
      </c>
      <c r="B6" s="246">
        <v>34</v>
      </c>
      <c r="C6" s="29">
        <v>21010</v>
      </c>
      <c r="D6" s="33">
        <v>327622</v>
      </c>
    </row>
    <row r="7" spans="1:5" ht="15.95" customHeight="1">
      <c r="A7" s="33" t="str">
        <f>District!B18</f>
        <v>2011-12</v>
      </c>
      <c r="B7" s="246">
        <v>15</v>
      </c>
      <c r="C7" s="29">
        <v>10043</v>
      </c>
      <c r="D7" s="33">
        <v>344964</v>
      </c>
    </row>
    <row r="8" spans="1:5" ht="15.95" customHeight="1">
      <c r="A8" s="29" t="str">
        <f>District!B19</f>
        <v>2012-13</v>
      </c>
      <c r="B8" s="246">
        <v>12</v>
      </c>
      <c r="C8" s="29">
        <v>8921</v>
      </c>
      <c r="D8" s="33">
        <v>202452</v>
      </c>
      <c r="E8" s="177"/>
    </row>
    <row r="9" spans="1:5" ht="15.95" customHeight="1">
      <c r="A9" s="56" t="str">
        <f>District!B20</f>
        <v>2013-14</v>
      </c>
      <c r="B9" s="56">
        <f>SUM(B11,B21,B30)</f>
        <v>7</v>
      </c>
      <c r="C9" s="56">
        <f>SUM(C11,C21,C30)</f>
        <v>5198</v>
      </c>
      <c r="D9" s="41">
        <f>SUM(D11,D21,D30)</f>
        <v>171815</v>
      </c>
      <c r="E9" s="177"/>
    </row>
    <row r="10" spans="1:5" ht="27.75" customHeight="1">
      <c r="A10" s="338" t="s">
        <v>1539</v>
      </c>
      <c r="B10" s="1305" t="str">
        <f>"Year :  " &amp; A9</f>
        <v>Year :  2013-14</v>
      </c>
      <c r="C10" s="1368"/>
      <c r="D10" s="1369"/>
    </row>
    <row r="11" spans="1:5" ht="17.25" customHeight="1">
      <c r="A11" s="464" t="s">
        <v>717</v>
      </c>
      <c r="B11" s="369">
        <f>SUM(B12:B20)</f>
        <v>3</v>
      </c>
      <c r="C11" s="275">
        <f>SUM(C12:C20)</f>
        <v>2545</v>
      </c>
      <c r="D11" s="43">
        <f>SUM(D12:D20)</f>
        <v>75212</v>
      </c>
    </row>
    <row r="12" spans="1:5" ht="17.25" customHeight="1">
      <c r="A12" s="400" t="s">
        <v>596</v>
      </c>
      <c r="B12" s="49" t="s">
        <v>1127</v>
      </c>
      <c r="C12" s="24" t="s">
        <v>1127</v>
      </c>
      <c r="D12" s="976" t="s">
        <v>1127</v>
      </c>
    </row>
    <row r="13" spans="1:5" ht="17.25" customHeight="1">
      <c r="A13" s="400" t="s">
        <v>365</v>
      </c>
      <c r="B13" s="49">
        <v>1</v>
      </c>
      <c r="C13" s="24">
        <v>1043</v>
      </c>
      <c r="D13" s="976">
        <v>62850</v>
      </c>
    </row>
    <row r="14" spans="1:5" ht="17.25" customHeight="1">
      <c r="A14" s="400" t="s">
        <v>595</v>
      </c>
      <c r="B14" s="49">
        <v>1</v>
      </c>
      <c r="C14" s="506">
        <v>1002</v>
      </c>
      <c r="D14" s="976">
        <v>11350</v>
      </c>
    </row>
    <row r="15" spans="1:5" ht="17.25" customHeight="1">
      <c r="A15" s="351" t="s">
        <v>597</v>
      </c>
      <c r="B15" s="49">
        <v>1</v>
      </c>
      <c r="C15" s="24">
        <v>500</v>
      </c>
      <c r="D15" s="83">
        <v>1012</v>
      </c>
    </row>
    <row r="16" spans="1:5" ht="17.25" customHeight="1">
      <c r="A16" s="400" t="s">
        <v>598</v>
      </c>
      <c r="B16" s="49" t="s">
        <v>1127</v>
      </c>
      <c r="C16" s="24" t="s">
        <v>1127</v>
      </c>
      <c r="D16" s="33" t="s">
        <v>1127</v>
      </c>
    </row>
    <row r="17" spans="1:4" ht="17.25" customHeight="1">
      <c r="A17" s="400" t="s">
        <v>599</v>
      </c>
      <c r="B17" s="49" t="s">
        <v>1127</v>
      </c>
      <c r="C17" s="24" t="s">
        <v>1127</v>
      </c>
      <c r="D17" s="964" t="s">
        <v>1127</v>
      </c>
    </row>
    <row r="18" spans="1:4" ht="17.25" customHeight="1">
      <c r="A18" s="400" t="s">
        <v>771</v>
      </c>
      <c r="B18" s="966" t="s">
        <v>1127</v>
      </c>
      <c r="C18" s="961" t="s">
        <v>1127</v>
      </c>
      <c r="D18" s="964" t="s">
        <v>1127</v>
      </c>
    </row>
    <row r="19" spans="1:4" ht="17.25" customHeight="1">
      <c r="A19" s="400" t="s">
        <v>600</v>
      </c>
      <c r="B19" s="966" t="s">
        <v>1127</v>
      </c>
      <c r="C19" s="961" t="s">
        <v>1127</v>
      </c>
      <c r="D19" s="964" t="s">
        <v>1127</v>
      </c>
    </row>
    <row r="20" spans="1:4" ht="17.25" customHeight="1">
      <c r="A20" s="400" t="s">
        <v>602</v>
      </c>
      <c r="B20" s="49" t="s">
        <v>1127</v>
      </c>
      <c r="C20" s="24" t="s">
        <v>1127</v>
      </c>
      <c r="D20" s="33" t="s">
        <v>1127</v>
      </c>
    </row>
    <row r="21" spans="1:4" ht="17.25" customHeight="1">
      <c r="A21" s="399" t="s">
        <v>366</v>
      </c>
      <c r="B21" s="43">
        <f>SUM(B23:B29)</f>
        <v>1</v>
      </c>
      <c r="C21" s="64">
        <f>SUM(C22:C29)</f>
        <v>580</v>
      </c>
      <c r="D21" s="43">
        <f>SUM(D22:D29)</f>
        <v>18484</v>
      </c>
    </row>
    <row r="22" spans="1:4" ht="17.25" customHeight="1">
      <c r="A22" s="400" t="s">
        <v>605</v>
      </c>
      <c r="B22" s="49" t="s">
        <v>1127</v>
      </c>
      <c r="C22" s="24" t="s">
        <v>1127</v>
      </c>
      <c r="D22" s="33" t="s">
        <v>1127</v>
      </c>
    </row>
    <row r="23" spans="1:4" ht="17.25" customHeight="1">
      <c r="A23" s="400" t="s">
        <v>604</v>
      </c>
      <c r="B23" s="966" t="s">
        <v>1127</v>
      </c>
      <c r="C23" s="962" t="s">
        <v>1127</v>
      </c>
      <c r="D23" s="964" t="s">
        <v>1127</v>
      </c>
    </row>
    <row r="24" spans="1:4" ht="17.25" customHeight="1">
      <c r="A24" s="400" t="s">
        <v>368</v>
      </c>
      <c r="B24" s="49" t="s">
        <v>1127</v>
      </c>
      <c r="C24" s="24" t="s">
        <v>1127</v>
      </c>
      <c r="D24" s="33" t="s">
        <v>1127</v>
      </c>
    </row>
    <row r="25" spans="1:4" ht="17.25" customHeight="1">
      <c r="A25" s="400" t="s">
        <v>606</v>
      </c>
      <c r="B25" s="49" t="s">
        <v>1127</v>
      </c>
      <c r="C25" s="24" t="s">
        <v>1127</v>
      </c>
      <c r="D25" s="33" t="s">
        <v>1127</v>
      </c>
    </row>
    <row r="26" spans="1:4" ht="17.25" customHeight="1">
      <c r="A26" s="400" t="s">
        <v>347</v>
      </c>
      <c r="B26" s="49" t="s">
        <v>1127</v>
      </c>
      <c r="C26" s="24" t="s">
        <v>1127</v>
      </c>
      <c r="D26" s="33" t="s">
        <v>1127</v>
      </c>
    </row>
    <row r="27" spans="1:4" ht="17.25" customHeight="1">
      <c r="A27" s="400" t="s">
        <v>369</v>
      </c>
      <c r="B27" s="49" t="s">
        <v>1127</v>
      </c>
      <c r="C27" s="24" t="s">
        <v>1127</v>
      </c>
      <c r="D27" s="33" t="s">
        <v>1127</v>
      </c>
    </row>
    <row r="28" spans="1:4" ht="17.25" customHeight="1">
      <c r="A28" s="400" t="s">
        <v>349</v>
      </c>
      <c r="B28" s="52">
        <v>1</v>
      </c>
      <c r="C28" s="29">
        <v>580</v>
      </c>
      <c r="D28" s="33">
        <v>18484</v>
      </c>
    </row>
    <row r="29" spans="1:4" ht="17.25" customHeight="1">
      <c r="A29" s="400" t="s">
        <v>370</v>
      </c>
      <c r="B29" s="966" t="s">
        <v>1127</v>
      </c>
      <c r="C29" s="962" t="s">
        <v>1127</v>
      </c>
      <c r="D29" s="964" t="s">
        <v>1127</v>
      </c>
    </row>
    <row r="30" spans="1:4" ht="17.25" customHeight="1">
      <c r="A30" s="399" t="s">
        <v>371</v>
      </c>
      <c r="B30" s="43">
        <f>SUM(B32:B38)</f>
        <v>3</v>
      </c>
      <c r="C30" s="64">
        <f>SUM(C31:C38)</f>
        <v>2073</v>
      </c>
      <c r="D30" s="43">
        <f>SUM(D31:D38)</f>
        <v>78119</v>
      </c>
    </row>
    <row r="31" spans="1:4" ht="17.25" customHeight="1">
      <c r="A31" s="400" t="s">
        <v>350</v>
      </c>
      <c r="B31" s="49" t="s">
        <v>1127</v>
      </c>
      <c r="C31" s="961" t="s">
        <v>1127</v>
      </c>
      <c r="D31" s="33" t="s">
        <v>1127</v>
      </c>
    </row>
    <row r="32" spans="1:4" ht="17.25" customHeight="1">
      <c r="A32" s="400" t="s">
        <v>356</v>
      </c>
      <c r="B32" s="49">
        <v>1</v>
      </c>
      <c r="C32" s="29">
        <v>903</v>
      </c>
      <c r="D32" s="33">
        <v>64824</v>
      </c>
    </row>
    <row r="33" spans="1:4" ht="17.25" customHeight="1">
      <c r="A33" s="400" t="s">
        <v>351</v>
      </c>
      <c r="B33" s="49">
        <v>1</v>
      </c>
      <c r="C33" s="29">
        <v>720</v>
      </c>
      <c r="D33" s="33">
        <v>7695</v>
      </c>
    </row>
    <row r="34" spans="1:4" ht="17.25" customHeight="1">
      <c r="A34" s="400" t="s">
        <v>352</v>
      </c>
      <c r="B34" s="49" t="s">
        <v>1127</v>
      </c>
      <c r="C34" s="24" t="s">
        <v>1127</v>
      </c>
      <c r="D34" s="33" t="s">
        <v>1127</v>
      </c>
    </row>
    <row r="35" spans="1:4" ht="17.25" customHeight="1">
      <c r="A35" s="400" t="s">
        <v>353</v>
      </c>
      <c r="B35" s="49" t="s">
        <v>1127</v>
      </c>
      <c r="C35" s="24" t="s">
        <v>1127</v>
      </c>
      <c r="D35" s="33" t="s">
        <v>1127</v>
      </c>
    </row>
    <row r="36" spans="1:4" ht="17.25" customHeight="1">
      <c r="A36" s="400" t="s">
        <v>362</v>
      </c>
      <c r="B36" s="49" t="s">
        <v>1127</v>
      </c>
      <c r="C36" s="24" t="s">
        <v>1127</v>
      </c>
      <c r="D36" s="33" t="s">
        <v>1127</v>
      </c>
    </row>
    <row r="37" spans="1:4" ht="17.25" customHeight="1">
      <c r="A37" s="400" t="s">
        <v>354</v>
      </c>
      <c r="B37" s="49">
        <v>1</v>
      </c>
      <c r="C37" s="29">
        <v>450</v>
      </c>
      <c r="D37" s="83">
        <v>5600</v>
      </c>
    </row>
    <row r="38" spans="1:4" ht="17.25" customHeight="1">
      <c r="A38" s="396" t="s">
        <v>355</v>
      </c>
      <c r="B38" s="48" t="s">
        <v>1127</v>
      </c>
      <c r="C38" s="56" t="s">
        <v>1127</v>
      </c>
      <c r="D38" s="41" t="s">
        <v>1127</v>
      </c>
    </row>
    <row r="39" spans="1:4" ht="12.75" customHeight="1">
      <c r="A39"/>
      <c r="B39" s="825"/>
      <c r="D39" s="929" t="s">
        <v>61</v>
      </c>
    </row>
    <row r="40" spans="1:4" ht="12.75" customHeight="1">
      <c r="A40"/>
      <c r="D40" s="707"/>
    </row>
    <row r="41" spans="1:4" ht="12.75" customHeight="1">
      <c r="A41"/>
      <c r="B41"/>
      <c r="C41" s="651"/>
      <c r="D41" s="651"/>
    </row>
    <row r="42" spans="1:4" ht="12.75" customHeight="1">
      <c r="A42"/>
      <c r="B42"/>
    </row>
    <row r="43" spans="1:4" ht="13.5" customHeight="1">
      <c r="B43"/>
      <c r="C43" s="827"/>
      <c r="D43"/>
    </row>
    <row r="44" spans="1:4" ht="13.5" customHeight="1">
      <c r="B44"/>
    </row>
    <row r="45" spans="1:4" ht="13.5" customHeight="1">
      <c r="B45"/>
    </row>
    <row r="46" spans="1:4" ht="13.5" customHeight="1">
      <c r="B46"/>
    </row>
    <row r="47" spans="1:4" ht="13.5" customHeight="1">
      <c r="A47"/>
      <c r="B47"/>
    </row>
    <row r="48" spans="1:4" ht="13.5" customHeight="1">
      <c r="A48"/>
      <c r="B48"/>
    </row>
    <row r="49" spans="1:2" ht="13.5" customHeight="1">
      <c r="A49"/>
      <c r="B49"/>
    </row>
    <row r="50" spans="1:2" ht="13.5" customHeight="1">
      <c r="A50"/>
      <c r="B50"/>
    </row>
    <row r="51" spans="1:2" ht="13.5" customHeight="1"/>
    <row r="52" spans="1:2" ht="13.5" customHeight="1"/>
    <row r="53" spans="1:2" ht="13.5" customHeight="1"/>
    <row r="54" spans="1:2" ht="13.5" customHeight="1"/>
    <row r="55" spans="1:2" ht="12.75" customHeight="1"/>
  </sheetData>
  <mergeCells count="3">
    <mergeCell ref="B10:D10"/>
    <mergeCell ref="A1:D1"/>
    <mergeCell ref="A2:D2"/>
  </mergeCells>
  <phoneticPr fontId="0" type="noConversion"/>
  <printOptions horizontalCentered="1"/>
  <pageMargins left="0.16" right="0.1" top="0.98" bottom="0.1" header="0.7" footer="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sheetPr codeName="Sheet43"/>
  <dimension ref="A1:D127"/>
  <sheetViews>
    <sheetView workbookViewId="0">
      <selection activeCell="M30" sqref="M30"/>
    </sheetView>
  </sheetViews>
  <sheetFormatPr defaultRowHeight="12.75"/>
  <cols>
    <col min="1" max="2" width="6.7109375" style="171" customWidth="1"/>
    <col min="3" max="3" width="71.28515625" style="171" customWidth="1"/>
    <col min="4" max="4" width="6.140625" style="171" customWidth="1"/>
    <col min="5" max="16384" width="9.140625" style="171"/>
  </cols>
  <sheetData>
    <row r="1" spans="1:4" ht="20.25" customHeight="1">
      <c r="A1" s="1177" t="s">
        <v>869</v>
      </c>
      <c r="B1" s="1177"/>
      <c r="C1" s="1177"/>
      <c r="D1" s="1177"/>
    </row>
    <row r="2" spans="1:4" ht="28.5" customHeight="1">
      <c r="A2" s="1087" t="s">
        <v>494</v>
      </c>
      <c r="B2" s="1087" t="s">
        <v>1150</v>
      </c>
      <c r="C2" s="1088" t="s">
        <v>922</v>
      </c>
      <c r="D2" s="107" t="s">
        <v>868</v>
      </c>
    </row>
    <row r="3" spans="1:4" ht="13.5" customHeight="1">
      <c r="A3" s="1089"/>
      <c r="B3" s="1089"/>
      <c r="C3" s="1090" t="s">
        <v>1685</v>
      </c>
      <c r="D3" s="868"/>
    </row>
    <row r="4" spans="1:4" ht="12" customHeight="1">
      <c r="A4" s="1091">
        <v>1</v>
      </c>
      <c r="B4" s="1092" t="s">
        <v>1642</v>
      </c>
      <c r="C4" s="1093" t="s">
        <v>722</v>
      </c>
      <c r="D4" s="868">
        <v>1</v>
      </c>
    </row>
    <row r="5" spans="1:4" ht="12" customHeight="1">
      <c r="A5" s="1091">
        <v>2</v>
      </c>
      <c r="B5" s="1092" t="s">
        <v>1641</v>
      </c>
      <c r="C5" s="1093" t="s">
        <v>723</v>
      </c>
      <c r="D5" s="868">
        <v>1</v>
      </c>
    </row>
    <row r="6" spans="1:4" ht="12" customHeight="1">
      <c r="A6" s="1091">
        <v>3</v>
      </c>
      <c r="B6" s="1092" t="s">
        <v>1643</v>
      </c>
      <c r="C6" s="1093" t="s">
        <v>131</v>
      </c>
      <c r="D6" s="868">
        <v>2</v>
      </c>
    </row>
    <row r="7" spans="1:4" ht="12" customHeight="1">
      <c r="A7" s="1091">
        <v>4</v>
      </c>
      <c r="B7" s="1092" t="s">
        <v>1644</v>
      </c>
      <c r="C7" s="1093" t="s">
        <v>1309</v>
      </c>
      <c r="D7" s="868">
        <v>2</v>
      </c>
    </row>
    <row r="8" spans="1:4" ht="13.5" customHeight="1">
      <c r="A8" s="1091"/>
      <c r="B8" s="1091"/>
      <c r="C8" s="1090" t="s">
        <v>1686</v>
      </c>
      <c r="D8" s="868"/>
    </row>
    <row r="9" spans="1:4" ht="12" customHeight="1">
      <c r="A9" s="1091">
        <v>5</v>
      </c>
      <c r="B9" s="1092" t="s">
        <v>1645</v>
      </c>
      <c r="C9" s="1093" t="s">
        <v>132</v>
      </c>
      <c r="D9" s="868">
        <v>3</v>
      </c>
    </row>
    <row r="10" spans="1:4" ht="12" customHeight="1">
      <c r="A10" s="1091">
        <v>6</v>
      </c>
      <c r="B10" s="1091" t="s">
        <v>1530</v>
      </c>
      <c r="C10" s="1093" t="s">
        <v>725</v>
      </c>
      <c r="D10" s="868">
        <v>4</v>
      </c>
    </row>
    <row r="11" spans="1:4" ht="12" customHeight="1">
      <c r="A11" s="1091">
        <v>7</v>
      </c>
      <c r="B11" s="1091" t="s">
        <v>1535</v>
      </c>
      <c r="C11" s="1093" t="s">
        <v>130</v>
      </c>
      <c r="D11" s="868">
        <v>4</v>
      </c>
    </row>
    <row r="12" spans="1:4" ht="12" customHeight="1">
      <c r="A12" s="1091">
        <v>8</v>
      </c>
      <c r="B12" s="1092" t="s">
        <v>1646</v>
      </c>
      <c r="C12" s="1093" t="s">
        <v>157</v>
      </c>
      <c r="D12" s="868">
        <v>5</v>
      </c>
    </row>
    <row r="13" spans="1:4" ht="12" customHeight="1">
      <c r="A13" s="1091">
        <v>9</v>
      </c>
      <c r="B13" s="1092" t="s">
        <v>1647</v>
      </c>
      <c r="C13" s="1093" t="s">
        <v>133</v>
      </c>
      <c r="D13" s="868">
        <v>6</v>
      </c>
    </row>
    <row r="14" spans="1:4" ht="12" customHeight="1">
      <c r="A14" s="1091">
        <v>10</v>
      </c>
      <c r="B14" s="1091" t="s">
        <v>1531</v>
      </c>
      <c r="C14" s="1093" t="s">
        <v>156</v>
      </c>
      <c r="D14" s="868">
        <v>7</v>
      </c>
    </row>
    <row r="15" spans="1:4" ht="12" customHeight="1">
      <c r="A15" s="1091">
        <v>11</v>
      </c>
      <c r="B15" s="1091" t="s">
        <v>1532</v>
      </c>
      <c r="C15" s="1093" t="s">
        <v>5</v>
      </c>
      <c r="D15" s="868">
        <v>8</v>
      </c>
    </row>
    <row r="16" spans="1:4" ht="12" customHeight="1">
      <c r="A16" s="1091">
        <v>12</v>
      </c>
      <c r="B16" s="1091" t="s">
        <v>1533</v>
      </c>
      <c r="C16" s="1093" t="s">
        <v>134</v>
      </c>
      <c r="D16" s="868">
        <v>9</v>
      </c>
    </row>
    <row r="17" spans="1:4" ht="12" customHeight="1">
      <c r="A17" s="1091">
        <v>13</v>
      </c>
      <c r="B17" s="1091" t="s">
        <v>1629</v>
      </c>
      <c r="C17" s="1093" t="s">
        <v>6</v>
      </c>
      <c r="D17" s="868">
        <v>10</v>
      </c>
    </row>
    <row r="18" spans="1:4" ht="12" customHeight="1">
      <c r="A18" s="1091">
        <v>14</v>
      </c>
      <c r="B18" s="1092" t="s">
        <v>1648</v>
      </c>
      <c r="C18" s="1093" t="s">
        <v>1276</v>
      </c>
      <c r="D18" s="868">
        <v>11</v>
      </c>
    </row>
    <row r="19" spans="1:4" ht="12" customHeight="1">
      <c r="A19" s="1091">
        <v>15</v>
      </c>
      <c r="B19" s="1092" t="s">
        <v>1649</v>
      </c>
      <c r="C19" s="1094" t="s">
        <v>160</v>
      </c>
      <c r="D19" s="868">
        <v>12</v>
      </c>
    </row>
    <row r="20" spans="1:4" ht="12" customHeight="1">
      <c r="A20" s="1091">
        <v>16</v>
      </c>
      <c r="B20" s="1092" t="s">
        <v>1650</v>
      </c>
      <c r="C20" s="1094" t="s">
        <v>135</v>
      </c>
      <c r="D20" s="868">
        <v>13</v>
      </c>
    </row>
    <row r="21" spans="1:4" ht="12" customHeight="1">
      <c r="A21" s="1091">
        <v>17</v>
      </c>
      <c r="B21" s="1092" t="s">
        <v>1651</v>
      </c>
      <c r="C21" s="1093" t="s">
        <v>1341</v>
      </c>
      <c r="D21" s="868">
        <v>14</v>
      </c>
    </row>
    <row r="22" spans="1:4" ht="12" customHeight="1">
      <c r="A22" s="1091">
        <v>18</v>
      </c>
      <c r="B22" s="1092" t="s">
        <v>1652</v>
      </c>
      <c r="C22" s="1093" t="s">
        <v>727</v>
      </c>
      <c r="D22" s="868">
        <v>14</v>
      </c>
    </row>
    <row r="23" spans="1:4" ht="12" customHeight="1">
      <c r="A23" s="1091">
        <v>19</v>
      </c>
      <c r="B23" s="1091" t="s">
        <v>1633</v>
      </c>
      <c r="C23" s="1093" t="s">
        <v>728</v>
      </c>
      <c r="D23" s="868">
        <v>15</v>
      </c>
    </row>
    <row r="24" spans="1:4" ht="12" customHeight="1">
      <c r="A24" s="1091">
        <v>20</v>
      </c>
      <c r="B24" s="1092" t="s">
        <v>1653</v>
      </c>
      <c r="C24" s="1093" t="s">
        <v>136</v>
      </c>
      <c r="D24" s="868">
        <v>17</v>
      </c>
    </row>
    <row r="25" spans="1:4" ht="13.5" customHeight="1">
      <c r="A25" s="1091"/>
      <c r="B25" s="1091"/>
      <c r="C25" s="1090" t="s">
        <v>1687</v>
      </c>
      <c r="D25" s="868"/>
    </row>
    <row r="26" spans="1:4" ht="12" customHeight="1">
      <c r="A26" s="1091">
        <v>21</v>
      </c>
      <c r="B26" s="1092" t="s">
        <v>1654</v>
      </c>
      <c r="C26" s="1093" t="s">
        <v>137</v>
      </c>
      <c r="D26" s="868">
        <v>18</v>
      </c>
    </row>
    <row r="27" spans="1:4" ht="12" customHeight="1">
      <c r="A27" s="1091">
        <v>22</v>
      </c>
      <c r="B27" s="1092" t="s">
        <v>1655</v>
      </c>
      <c r="C27" s="1093" t="s">
        <v>1159</v>
      </c>
      <c r="D27" s="868">
        <v>20</v>
      </c>
    </row>
    <row r="28" spans="1:4" ht="12" customHeight="1">
      <c r="A28" s="1091">
        <v>23</v>
      </c>
      <c r="B28" s="1091" t="s">
        <v>1640</v>
      </c>
      <c r="C28" s="1093" t="s">
        <v>729</v>
      </c>
      <c r="D28" s="868">
        <v>21</v>
      </c>
    </row>
    <row r="29" spans="1:4" ht="12" customHeight="1">
      <c r="A29" s="1091">
        <v>24</v>
      </c>
      <c r="B29" s="1092" t="s">
        <v>1656</v>
      </c>
      <c r="C29" s="1093" t="s">
        <v>1270</v>
      </c>
      <c r="D29" s="868">
        <v>22</v>
      </c>
    </row>
    <row r="30" spans="1:4" ht="12" customHeight="1">
      <c r="A30" s="1091">
        <v>25</v>
      </c>
      <c r="B30" s="1091" t="s">
        <v>921</v>
      </c>
      <c r="C30" s="1093" t="s">
        <v>1269</v>
      </c>
      <c r="D30" s="868">
        <v>23</v>
      </c>
    </row>
    <row r="31" spans="1:4" ht="13.5" customHeight="1">
      <c r="A31" s="1091"/>
      <c r="B31" s="1091"/>
      <c r="C31" s="1090" t="s">
        <v>1688</v>
      </c>
      <c r="D31" s="868"/>
    </row>
    <row r="32" spans="1:4" ht="12" customHeight="1">
      <c r="A32" s="1091">
        <v>26</v>
      </c>
      <c r="B32" s="1091" t="s">
        <v>288</v>
      </c>
      <c r="C32" s="1093" t="s">
        <v>1313</v>
      </c>
      <c r="D32" s="868">
        <v>24</v>
      </c>
    </row>
    <row r="33" spans="1:4" ht="12" customHeight="1">
      <c r="A33" s="1091">
        <v>27</v>
      </c>
      <c r="B33" s="1091" t="s">
        <v>296</v>
      </c>
      <c r="C33" s="1093" t="s">
        <v>1314</v>
      </c>
      <c r="D33" s="868">
        <v>25</v>
      </c>
    </row>
    <row r="34" spans="1:4" ht="12" customHeight="1">
      <c r="A34" s="1091">
        <v>28</v>
      </c>
      <c r="B34" s="1091" t="s">
        <v>289</v>
      </c>
      <c r="C34" s="1093" t="s">
        <v>1322</v>
      </c>
      <c r="D34" s="868">
        <v>26</v>
      </c>
    </row>
    <row r="35" spans="1:4" ht="12" customHeight="1">
      <c r="A35" s="1091">
        <v>29</v>
      </c>
      <c r="B35" s="1091" t="s">
        <v>290</v>
      </c>
      <c r="C35" s="1093" t="s">
        <v>91</v>
      </c>
      <c r="D35" s="868">
        <v>27</v>
      </c>
    </row>
    <row r="36" spans="1:4" ht="12" customHeight="1">
      <c r="A36" s="1091">
        <v>30</v>
      </c>
      <c r="B36" s="1091" t="s">
        <v>291</v>
      </c>
      <c r="C36" s="1093" t="s">
        <v>92</v>
      </c>
      <c r="D36" s="868">
        <v>28</v>
      </c>
    </row>
    <row r="37" spans="1:4" ht="12" customHeight="1">
      <c r="A37" s="1091">
        <v>31</v>
      </c>
      <c r="B37" s="1091" t="s">
        <v>292</v>
      </c>
      <c r="C37" s="1093" t="s">
        <v>105</v>
      </c>
      <c r="D37" s="868">
        <v>29</v>
      </c>
    </row>
    <row r="38" spans="1:4" ht="12" customHeight="1">
      <c r="A38" s="1091">
        <v>32</v>
      </c>
      <c r="B38" s="1091" t="s">
        <v>293</v>
      </c>
      <c r="C38" s="1093" t="s">
        <v>106</v>
      </c>
      <c r="D38" s="868">
        <v>30</v>
      </c>
    </row>
    <row r="39" spans="1:4" ht="12" customHeight="1">
      <c r="A39" s="1091">
        <v>33</v>
      </c>
      <c r="B39" s="1091" t="s">
        <v>294</v>
      </c>
      <c r="C39" s="1093" t="s">
        <v>124</v>
      </c>
      <c r="D39" s="868">
        <v>31</v>
      </c>
    </row>
    <row r="40" spans="1:4" ht="12" customHeight="1">
      <c r="A40" s="1091">
        <v>34</v>
      </c>
      <c r="B40" s="1091" t="s">
        <v>295</v>
      </c>
      <c r="C40" s="1093" t="s">
        <v>116</v>
      </c>
      <c r="D40" s="868">
        <v>32</v>
      </c>
    </row>
    <row r="41" spans="1:4" ht="12" customHeight="1">
      <c r="A41" s="1091">
        <v>35</v>
      </c>
      <c r="B41" s="1092" t="s">
        <v>23</v>
      </c>
      <c r="C41" s="1093" t="s">
        <v>1271</v>
      </c>
      <c r="D41" s="868">
        <v>33</v>
      </c>
    </row>
    <row r="42" spans="1:4" ht="12" customHeight="1">
      <c r="A42" s="1091">
        <v>36</v>
      </c>
      <c r="B42" s="1092" t="s">
        <v>24</v>
      </c>
      <c r="C42" s="1093" t="s">
        <v>499</v>
      </c>
      <c r="D42" s="868">
        <v>35</v>
      </c>
    </row>
    <row r="43" spans="1:4" ht="12" customHeight="1">
      <c r="A43" s="1091">
        <v>37</v>
      </c>
      <c r="B43" s="1092" t="s">
        <v>25</v>
      </c>
      <c r="C43" s="1093" t="s">
        <v>1310</v>
      </c>
      <c r="D43" s="868">
        <v>36</v>
      </c>
    </row>
    <row r="44" spans="1:4" ht="12" customHeight="1">
      <c r="A44" s="1091">
        <v>38</v>
      </c>
      <c r="B44" s="1092" t="s">
        <v>26</v>
      </c>
      <c r="C44" s="1093" t="s">
        <v>118</v>
      </c>
      <c r="D44" s="868">
        <v>37</v>
      </c>
    </row>
    <row r="45" spans="1:4" ht="12" customHeight="1">
      <c r="A45" s="1091">
        <v>39</v>
      </c>
      <c r="B45" s="1092" t="s">
        <v>27</v>
      </c>
      <c r="C45" s="1093" t="s">
        <v>119</v>
      </c>
      <c r="D45" s="868">
        <v>38</v>
      </c>
    </row>
    <row r="46" spans="1:4" ht="13.5" customHeight="1">
      <c r="A46" s="1091"/>
      <c r="B46" s="1091"/>
      <c r="C46" s="1090" t="s">
        <v>1699</v>
      </c>
      <c r="D46" s="868"/>
    </row>
    <row r="47" spans="1:4" ht="12" customHeight="1">
      <c r="A47" s="1091">
        <v>40</v>
      </c>
      <c r="B47" s="1091">
        <v>5.0999999999999996</v>
      </c>
      <c r="C47" s="1093" t="s">
        <v>1311</v>
      </c>
      <c r="D47" s="868">
        <v>39</v>
      </c>
    </row>
    <row r="48" spans="1:4" ht="12" customHeight="1">
      <c r="A48" s="1091">
        <v>41</v>
      </c>
      <c r="B48" s="1091" t="s">
        <v>28</v>
      </c>
      <c r="C48" s="1093" t="s">
        <v>1275</v>
      </c>
      <c r="D48" s="868">
        <v>39</v>
      </c>
    </row>
    <row r="49" spans="1:4" ht="12" customHeight="1">
      <c r="A49" s="1091">
        <v>42</v>
      </c>
      <c r="B49" s="1091" t="s">
        <v>29</v>
      </c>
      <c r="C49" s="1093" t="s">
        <v>1312</v>
      </c>
      <c r="D49" s="868">
        <v>40</v>
      </c>
    </row>
    <row r="50" spans="1:4" ht="12" customHeight="1">
      <c r="A50" s="1091">
        <v>43</v>
      </c>
      <c r="B50" s="1091">
        <v>5.2</v>
      </c>
      <c r="C50" s="1093" t="s">
        <v>138</v>
      </c>
      <c r="D50" s="868">
        <v>40</v>
      </c>
    </row>
    <row r="51" spans="1:4" ht="12" customHeight="1">
      <c r="A51" s="1091">
        <v>44</v>
      </c>
      <c r="B51" s="1091">
        <v>5.3</v>
      </c>
      <c r="C51" s="1093" t="s">
        <v>139</v>
      </c>
      <c r="D51" s="868">
        <v>41</v>
      </c>
    </row>
    <row r="52" spans="1:4" ht="12" customHeight="1">
      <c r="A52" s="1091">
        <v>45</v>
      </c>
      <c r="B52" s="1091" t="s">
        <v>32</v>
      </c>
      <c r="C52" s="1093" t="s">
        <v>143</v>
      </c>
      <c r="D52" s="868">
        <v>42</v>
      </c>
    </row>
    <row r="53" spans="1:4" ht="12" customHeight="1">
      <c r="A53" s="1091">
        <v>46</v>
      </c>
      <c r="B53" s="1091" t="s">
        <v>42</v>
      </c>
      <c r="C53" s="1093" t="s">
        <v>144</v>
      </c>
      <c r="D53" s="868">
        <v>43</v>
      </c>
    </row>
    <row r="54" spans="1:4" ht="12" customHeight="1">
      <c r="A54" s="1091">
        <v>47</v>
      </c>
      <c r="B54" s="1091" t="s">
        <v>43</v>
      </c>
      <c r="C54" s="1093" t="s">
        <v>1272</v>
      </c>
      <c r="D54" s="868">
        <v>43</v>
      </c>
    </row>
    <row r="55" spans="1:4" ht="12" customHeight="1">
      <c r="A55" s="1091">
        <v>48</v>
      </c>
      <c r="B55" s="1091" t="s">
        <v>44</v>
      </c>
      <c r="C55" s="1093" t="s">
        <v>1337</v>
      </c>
      <c r="D55" s="868">
        <v>44</v>
      </c>
    </row>
    <row r="56" spans="1:4" ht="12" customHeight="1">
      <c r="A56" s="1091">
        <v>49</v>
      </c>
      <c r="B56" s="1091" t="s">
        <v>45</v>
      </c>
      <c r="C56" s="1093" t="s">
        <v>262</v>
      </c>
      <c r="D56" s="868">
        <v>45</v>
      </c>
    </row>
    <row r="57" spans="1:4" ht="12" customHeight="1">
      <c r="A57" s="1091">
        <v>50</v>
      </c>
      <c r="B57" s="1091">
        <v>5.4</v>
      </c>
      <c r="C57" s="1093" t="s">
        <v>1338</v>
      </c>
      <c r="D57" s="868">
        <v>46</v>
      </c>
    </row>
    <row r="58" spans="1:4" ht="12" customHeight="1">
      <c r="A58" s="1091">
        <v>51</v>
      </c>
      <c r="B58" s="1091">
        <v>5.5</v>
      </c>
      <c r="C58" s="1093" t="s">
        <v>145</v>
      </c>
      <c r="D58" s="868">
        <v>47</v>
      </c>
    </row>
    <row r="59" spans="1:4" ht="12" customHeight="1">
      <c r="A59" s="1091">
        <v>52</v>
      </c>
      <c r="B59" s="1091" t="s">
        <v>46</v>
      </c>
      <c r="C59" s="1093" t="s">
        <v>146</v>
      </c>
      <c r="D59" s="868">
        <v>47</v>
      </c>
    </row>
    <row r="60" spans="1:4" ht="12" customHeight="1">
      <c r="A60" s="1091">
        <v>53</v>
      </c>
      <c r="B60" s="1091">
        <v>5.6</v>
      </c>
      <c r="C60" s="1093" t="s">
        <v>147</v>
      </c>
      <c r="D60" s="868">
        <v>48</v>
      </c>
    </row>
    <row r="61" spans="1:4" ht="12" customHeight="1">
      <c r="A61" s="1091">
        <v>54</v>
      </c>
      <c r="B61" s="1091">
        <v>5.7</v>
      </c>
      <c r="C61" s="1093" t="s">
        <v>148</v>
      </c>
      <c r="D61" s="868">
        <v>48</v>
      </c>
    </row>
    <row r="62" spans="1:4" ht="12" customHeight="1">
      <c r="A62" s="1095">
        <v>55</v>
      </c>
      <c r="B62" s="1095">
        <v>5.8</v>
      </c>
      <c r="C62" s="1096" t="s">
        <v>149</v>
      </c>
      <c r="D62" s="1095">
        <v>48</v>
      </c>
    </row>
    <row r="63" spans="1:4">
      <c r="A63" s="1097"/>
      <c r="B63" s="1098"/>
      <c r="D63" s="722" t="s">
        <v>480</v>
      </c>
    </row>
    <row r="64" spans="1:4">
      <c r="A64" s="1178" t="s">
        <v>644</v>
      </c>
      <c r="B64" s="1178"/>
      <c r="C64" s="1178"/>
      <c r="D64" s="1178"/>
    </row>
    <row r="65" spans="1:4" ht="18" customHeight="1">
      <c r="A65" s="1176" t="s">
        <v>896</v>
      </c>
      <c r="B65" s="1176"/>
      <c r="C65" s="1176"/>
      <c r="D65" s="1176"/>
    </row>
    <row r="66" spans="1:4" ht="27.75" customHeight="1">
      <c r="A66" s="1087" t="s">
        <v>494</v>
      </c>
      <c r="B66" s="1087" t="s">
        <v>1150</v>
      </c>
      <c r="C66" s="1088" t="s">
        <v>922</v>
      </c>
      <c r="D66" s="107" t="s">
        <v>868</v>
      </c>
    </row>
    <row r="67" spans="1:4" ht="13.5" customHeight="1">
      <c r="A67" s="1091"/>
      <c r="B67" s="1091"/>
      <c r="C67" s="1090" t="s">
        <v>1689</v>
      </c>
      <c r="D67" s="868"/>
    </row>
    <row r="68" spans="1:4" ht="12" customHeight="1">
      <c r="A68" s="1091">
        <v>56</v>
      </c>
      <c r="B68" s="1091">
        <v>6.1</v>
      </c>
      <c r="C68" s="1093" t="s">
        <v>158</v>
      </c>
      <c r="D68" s="868">
        <v>49</v>
      </c>
    </row>
    <row r="69" spans="1:4" ht="12" customHeight="1">
      <c r="A69" s="1091">
        <v>57</v>
      </c>
      <c r="B69" s="1091">
        <v>6.2</v>
      </c>
      <c r="C69" s="1093" t="s">
        <v>1340</v>
      </c>
      <c r="D69" s="868">
        <v>50</v>
      </c>
    </row>
    <row r="70" spans="1:4" ht="13.5" customHeight="1">
      <c r="A70" s="1091"/>
      <c r="B70" s="1099"/>
      <c r="C70" s="1090" t="s">
        <v>1690</v>
      </c>
      <c r="D70" s="868"/>
    </row>
    <row r="71" spans="1:4" ht="12" customHeight="1">
      <c r="A71" s="1091">
        <v>58</v>
      </c>
      <c r="B71" s="1091">
        <v>7.1</v>
      </c>
      <c r="C71" s="1093" t="s">
        <v>150</v>
      </c>
      <c r="D71" s="868">
        <v>51</v>
      </c>
    </row>
    <row r="72" spans="1:4" ht="12" customHeight="1">
      <c r="A72" s="1091">
        <v>59</v>
      </c>
      <c r="B72" s="1091">
        <v>7.2</v>
      </c>
      <c r="C72" s="1093" t="s">
        <v>263</v>
      </c>
      <c r="D72" s="868">
        <v>52</v>
      </c>
    </row>
    <row r="73" spans="1:4" ht="12" customHeight="1">
      <c r="A73" s="1091">
        <v>60</v>
      </c>
      <c r="B73" s="1091">
        <v>7.3</v>
      </c>
      <c r="C73" s="1093" t="s">
        <v>1049</v>
      </c>
      <c r="D73" s="868">
        <v>52</v>
      </c>
    </row>
    <row r="74" spans="1:4" ht="13.5" customHeight="1">
      <c r="A74" s="1091"/>
      <c r="B74" s="1091"/>
      <c r="C74" s="1090" t="s">
        <v>1700</v>
      </c>
      <c r="D74" s="868"/>
    </row>
    <row r="75" spans="1:4" ht="12" customHeight="1">
      <c r="A75" s="1091">
        <v>61</v>
      </c>
      <c r="B75" s="1091">
        <v>8.1</v>
      </c>
      <c r="C75" s="1093" t="s">
        <v>125</v>
      </c>
      <c r="D75" s="868">
        <v>53</v>
      </c>
    </row>
    <row r="76" spans="1:4" ht="12" customHeight="1">
      <c r="A76" s="1091">
        <v>62</v>
      </c>
      <c r="B76" s="1091">
        <v>8.1999999999999993</v>
      </c>
      <c r="C76" s="1093" t="s">
        <v>151</v>
      </c>
      <c r="D76" s="868">
        <v>53</v>
      </c>
    </row>
    <row r="77" spans="1:4" ht="12" customHeight="1">
      <c r="A77" s="1091">
        <v>63</v>
      </c>
      <c r="B77" s="1091" t="s">
        <v>47</v>
      </c>
      <c r="C77" s="1093" t="s">
        <v>126</v>
      </c>
      <c r="D77" s="868">
        <v>54</v>
      </c>
    </row>
    <row r="78" spans="1:4" ht="12" customHeight="1">
      <c r="A78" s="1091">
        <v>64</v>
      </c>
      <c r="B78" s="1091">
        <v>8.3000000000000007</v>
      </c>
      <c r="C78" s="1093" t="s">
        <v>159</v>
      </c>
      <c r="D78" s="868">
        <v>55</v>
      </c>
    </row>
    <row r="79" spans="1:4" ht="12" customHeight="1">
      <c r="A79" s="1091">
        <v>65</v>
      </c>
      <c r="B79" s="1091">
        <v>8.4</v>
      </c>
      <c r="C79" s="1093" t="s">
        <v>127</v>
      </c>
      <c r="D79" s="868">
        <v>56</v>
      </c>
    </row>
    <row r="80" spans="1:4" ht="12" customHeight="1">
      <c r="A80" s="1091">
        <v>66</v>
      </c>
      <c r="B80" s="1091" t="s">
        <v>1261</v>
      </c>
      <c r="C80" s="1093" t="s">
        <v>1262</v>
      </c>
      <c r="D80" s="868">
        <v>56</v>
      </c>
    </row>
    <row r="81" spans="1:4" ht="13.5" customHeight="1">
      <c r="A81" s="1091"/>
      <c r="B81" s="1091"/>
      <c r="C81" s="1090" t="s">
        <v>1691</v>
      </c>
      <c r="D81" s="1093"/>
    </row>
    <row r="82" spans="1:4" ht="12" customHeight="1">
      <c r="A82" s="1091">
        <v>67</v>
      </c>
      <c r="B82" s="1091">
        <v>9.1</v>
      </c>
      <c r="C82" s="1093" t="s">
        <v>128</v>
      </c>
      <c r="D82" s="868"/>
    </row>
    <row r="83" spans="1:4" ht="12" customHeight="1">
      <c r="A83" s="1091">
        <v>68</v>
      </c>
      <c r="B83" s="1091">
        <v>9.1999999999999993</v>
      </c>
      <c r="C83" s="1093" t="s">
        <v>107</v>
      </c>
      <c r="D83" s="868">
        <v>57</v>
      </c>
    </row>
    <row r="84" spans="1:4" ht="12" customHeight="1">
      <c r="A84" s="1091">
        <v>69</v>
      </c>
      <c r="B84" s="1091" t="s">
        <v>48</v>
      </c>
      <c r="C84" s="1093" t="s">
        <v>162</v>
      </c>
      <c r="D84" s="868">
        <v>58</v>
      </c>
    </row>
    <row r="85" spans="1:4" ht="12" customHeight="1">
      <c r="A85" s="1091">
        <v>70</v>
      </c>
      <c r="B85" s="1091" t="s">
        <v>49</v>
      </c>
      <c r="C85" s="1093" t="s">
        <v>164</v>
      </c>
      <c r="D85" s="868">
        <v>58</v>
      </c>
    </row>
    <row r="86" spans="1:4" ht="13.5" customHeight="1">
      <c r="A86" s="1091"/>
      <c r="B86" s="1091"/>
      <c r="C86" s="1090" t="s">
        <v>1692</v>
      </c>
      <c r="D86" s="1093"/>
    </row>
    <row r="87" spans="1:4" ht="12" customHeight="1">
      <c r="A87" s="1091">
        <v>71</v>
      </c>
      <c r="B87" s="1091">
        <v>10.1</v>
      </c>
      <c r="C87" s="1093" t="s">
        <v>163</v>
      </c>
      <c r="D87" s="868">
        <v>59</v>
      </c>
    </row>
    <row r="88" spans="1:4" ht="12" customHeight="1">
      <c r="A88" s="1091">
        <v>72</v>
      </c>
      <c r="B88" s="1091">
        <v>10.199999999999999</v>
      </c>
      <c r="C88" s="1093" t="s">
        <v>129</v>
      </c>
      <c r="D88" s="868">
        <v>59</v>
      </c>
    </row>
    <row r="89" spans="1:4" ht="12" customHeight="1">
      <c r="A89" s="1091">
        <v>73</v>
      </c>
      <c r="B89" s="1091">
        <v>10.3</v>
      </c>
      <c r="C89" s="1093" t="s">
        <v>1278</v>
      </c>
      <c r="D89" s="868">
        <v>60</v>
      </c>
    </row>
    <row r="90" spans="1:4" ht="13.5" customHeight="1">
      <c r="A90" s="1091"/>
      <c r="B90" s="1091"/>
      <c r="C90" s="1090" t="s">
        <v>1693</v>
      </c>
      <c r="D90" s="1093"/>
    </row>
    <row r="91" spans="1:4" ht="12" customHeight="1">
      <c r="A91" s="1091">
        <v>74</v>
      </c>
      <c r="B91" s="1091">
        <v>11.1</v>
      </c>
      <c r="C91" s="1093" t="s">
        <v>165</v>
      </c>
      <c r="D91" s="868">
        <v>61</v>
      </c>
    </row>
    <row r="92" spans="1:4" ht="12" customHeight="1">
      <c r="A92" s="1091">
        <v>75</v>
      </c>
      <c r="B92" s="1091" t="s">
        <v>64</v>
      </c>
      <c r="C92" s="1093" t="s">
        <v>166</v>
      </c>
      <c r="D92" s="868">
        <v>65</v>
      </c>
    </row>
    <row r="93" spans="1:4" ht="12" customHeight="1">
      <c r="A93" s="1091">
        <v>76</v>
      </c>
      <c r="B93" s="1091">
        <v>11.2</v>
      </c>
      <c r="C93" s="1100" t="s">
        <v>167</v>
      </c>
      <c r="D93" s="868">
        <v>65</v>
      </c>
    </row>
    <row r="94" spans="1:4" ht="12" customHeight="1">
      <c r="A94" s="1091">
        <v>77</v>
      </c>
      <c r="B94" s="1091">
        <v>11.3</v>
      </c>
      <c r="C94" s="1093" t="s">
        <v>168</v>
      </c>
      <c r="D94" s="868">
        <v>66</v>
      </c>
    </row>
    <row r="95" spans="1:4" ht="12" customHeight="1">
      <c r="A95" s="1091">
        <v>78</v>
      </c>
      <c r="B95" s="1091">
        <v>11.4</v>
      </c>
      <c r="C95" s="1093" t="s">
        <v>1279</v>
      </c>
      <c r="D95" s="868">
        <v>66</v>
      </c>
    </row>
    <row r="96" spans="1:4" ht="13.5" customHeight="1">
      <c r="A96" s="1091"/>
      <c r="B96" s="1091"/>
      <c r="C96" s="1090" t="s">
        <v>1694</v>
      </c>
      <c r="D96" s="1093"/>
    </row>
    <row r="97" spans="1:4" ht="12" customHeight="1">
      <c r="A97" s="1091">
        <v>79</v>
      </c>
      <c r="B97" s="1091">
        <v>12.1</v>
      </c>
      <c r="C97" s="1093" t="s">
        <v>1339</v>
      </c>
      <c r="D97" s="868">
        <v>67</v>
      </c>
    </row>
    <row r="98" spans="1:4" ht="12" customHeight="1">
      <c r="A98" s="1091">
        <v>80</v>
      </c>
      <c r="B98" s="1091">
        <v>12.2</v>
      </c>
      <c r="C98" s="1093" t="s">
        <v>169</v>
      </c>
      <c r="D98" s="868">
        <v>67</v>
      </c>
    </row>
    <row r="99" spans="1:4" ht="12" customHeight="1">
      <c r="A99" s="1091">
        <v>81</v>
      </c>
      <c r="B99" s="1091">
        <v>12.3</v>
      </c>
      <c r="C99" s="1093" t="s">
        <v>1277</v>
      </c>
      <c r="D99" s="868">
        <v>68</v>
      </c>
    </row>
    <row r="100" spans="1:4" ht="12" customHeight="1">
      <c r="A100" s="1091">
        <v>82</v>
      </c>
      <c r="B100" s="1091">
        <v>12.4</v>
      </c>
      <c r="C100" s="1099" t="s">
        <v>174</v>
      </c>
      <c r="D100" s="868">
        <v>68</v>
      </c>
    </row>
    <row r="101" spans="1:4" ht="12" customHeight="1">
      <c r="A101" s="1091">
        <v>83</v>
      </c>
      <c r="B101" s="1091">
        <v>12.5</v>
      </c>
      <c r="C101" s="1093" t="s">
        <v>170</v>
      </c>
      <c r="D101" s="868">
        <v>69</v>
      </c>
    </row>
    <row r="102" spans="1:4" ht="12" customHeight="1">
      <c r="A102" s="1091">
        <v>84</v>
      </c>
      <c r="B102" s="1091">
        <v>12.6</v>
      </c>
      <c r="C102" s="1093" t="s">
        <v>1280</v>
      </c>
      <c r="D102" s="868">
        <v>69</v>
      </c>
    </row>
    <row r="103" spans="1:4" ht="12" customHeight="1">
      <c r="A103" s="1091">
        <v>85</v>
      </c>
      <c r="B103" s="1091">
        <v>12.7</v>
      </c>
      <c r="C103" s="1093" t="s">
        <v>265</v>
      </c>
      <c r="D103" s="868">
        <v>69</v>
      </c>
    </row>
    <row r="104" spans="1:4" ht="13.5" customHeight="1">
      <c r="A104" s="1091"/>
      <c r="B104" s="1091"/>
      <c r="C104" s="1090" t="s">
        <v>1695</v>
      </c>
      <c r="D104" s="1093"/>
    </row>
    <row r="105" spans="1:4" ht="12" customHeight="1">
      <c r="A105" s="1091">
        <v>86</v>
      </c>
      <c r="B105" s="1091">
        <v>13.1</v>
      </c>
      <c r="C105" s="1093" t="s">
        <v>171</v>
      </c>
      <c r="D105" s="868">
        <v>70</v>
      </c>
    </row>
    <row r="106" spans="1:4" ht="12" customHeight="1">
      <c r="A106" s="1091">
        <v>87</v>
      </c>
      <c r="B106" s="1091">
        <v>13.2</v>
      </c>
      <c r="C106" s="1093" t="s">
        <v>266</v>
      </c>
      <c r="D106" s="868">
        <v>71</v>
      </c>
    </row>
    <row r="107" spans="1:4" ht="12" customHeight="1">
      <c r="A107" s="1091">
        <v>88</v>
      </c>
      <c r="B107" s="1091">
        <v>13.3</v>
      </c>
      <c r="C107" s="1093" t="s">
        <v>1281</v>
      </c>
      <c r="D107" s="868">
        <v>71</v>
      </c>
    </row>
    <row r="108" spans="1:4" ht="13.5" customHeight="1">
      <c r="A108" s="1091"/>
      <c r="B108" s="1091"/>
      <c r="C108" s="1090" t="s">
        <v>1696</v>
      </c>
      <c r="D108" s="1093"/>
    </row>
    <row r="109" spans="1:4" ht="12" customHeight="1">
      <c r="A109" s="1091">
        <v>89</v>
      </c>
      <c r="B109" s="1091">
        <v>14.1</v>
      </c>
      <c r="C109" s="1093" t="s">
        <v>161</v>
      </c>
      <c r="D109" s="868">
        <v>72</v>
      </c>
    </row>
    <row r="110" spans="1:4" ht="12" customHeight="1">
      <c r="A110" s="1091">
        <v>90</v>
      </c>
      <c r="B110" s="1091">
        <v>14.2</v>
      </c>
      <c r="C110" s="1093" t="s">
        <v>267</v>
      </c>
      <c r="D110" s="868">
        <v>72</v>
      </c>
    </row>
    <row r="111" spans="1:4" ht="13.5" customHeight="1">
      <c r="A111" s="1091"/>
      <c r="B111" s="1091"/>
      <c r="C111" s="1090" t="s">
        <v>1697</v>
      </c>
      <c r="D111" s="1093"/>
    </row>
    <row r="112" spans="1:4" ht="12" customHeight="1">
      <c r="A112" s="1091">
        <v>91</v>
      </c>
      <c r="B112" s="1091">
        <v>15.1</v>
      </c>
      <c r="C112" s="1093" t="s">
        <v>1370</v>
      </c>
      <c r="D112" s="868">
        <v>73</v>
      </c>
    </row>
    <row r="113" spans="1:4" ht="12" customHeight="1">
      <c r="A113" s="1091">
        <v>92</v>
      </c>
      <c r="B113" s="1091">
        <v>15.2</v>
      </c>
      <c r="C113" s="1093" t="s">
        <v>172</v>
      </c>
      <c r="D113" s="868">
        <v>74</v>
      </c>
    </row>
    <row r="114" spans="1:4" ht="13.5" customHeight="1">
      <c r="A114" s="1091"/>
      <c r="B114" s="1091"/>
      <c r="C114" s="1090" t="s">
        <v>1698</v>
      </c>
      <c r="D114" s="1093"/>
    </row>
    <row r="115" spans="1:4" ht="12" customHeight="1">
      <c r="A115" s="1091">
        <v>93</v>
      </c>
      <c r="B115" s="1091">
        <v>16.100000000000001</v>
      </c>
      <c r="C115" s="1093" t="s">
        <v>173</v>
      </c>
      <c r="D115" s="868">
        <v>77</v>
      </c>
    </row>
    <row r="116" spans="1:4" ht="12" customHeight="1">
      <c r="A116" s="1091">
        <v>94</v>
      </c>
      <c r="B116" s="1091">
        <v>17.100000000000001</v>
      </c>
      <c r="C116" s="1093" t="s">
        <v>268</v>
      </c>
      <c r="D116" s="868">
        <v>78</v>
      </c>
    </row>
    <row r="117" spans="1:4" ht="12" customHeight="1">
      <c r="A117" s="1091">
        <v>95</v>
      </c>
      <c r="B117" s="1091">
        <v>17.2</v>
      </c>
      <c r="C117" s="1093" t="s">
        <v>175</v>
      </c>
      <c r="D117" s="868">
        <v>80</v>
      </c>
    </row>
    <row r="118" spans="1:4" ht="12" customHeight="1">
      <c r="A118" s="1091">
        <v>96</v>
      </c>
      <c r="B118" s="1091">
        <v>18.100000000000001</v>
      </c>
      <c r="C118" s="1093" t="s">
        <v>1273</v>
      </c>
      <c r="D118" s="868">
        <v>81</v>
      </c>
    </row>
    <row r="119" spans="1:4" ht="12" customHeight="1">
      <c r="A119" s="1091">
        <v>97</v>
      </c>
      <c r="B119" s="1091">
        <v>18.2</v>
      </c>
      <c r="C119" s="1093" t="s">
        <v>260</v>
      </c>
      <c r="D119" s="868">
        <v>84</v>
      </c>
    </row>
    <row r="120" spans="1:4" ht="12" customHeight="1">
      <c r="A120" s="1091">
        <v>98</v>
      </c>
      <c r="B120" s="1091">
        <v>18.3</v>
      </c>
      <c r="C120" s="1093" t="s">
        <v>176</v>
      </c>
      <c r="D120" s="868">
        <v>85</v>
      </c>
    </row>
    <row r="121" spans="1:4" ht="12" customHeight="1">
      <c r="A121" s="1091">
        <v>99</v>
      </c>
      <c r="B121" s="1091">
        <v>19.100000000000001</v>
      </c>
      <c r="C121" s="1093" t="s">
        <v>1274</v>
      </c>
      <c r="D121" s="868">
        <v>86</v>
      </c>
    </row>
    <row r="122" spans="1:4" ht="12" customHeight="1">
      <c r="A122" s="1091">
        <v>100</v>
      </c>
      <c r="B122" s="1091">
        <v>20.100000000000001</v>
      </c>
      <c r="C122" s="1093" t="s">
        <v>270</v>
      </c>
      <c r="D122" s="868">
        <v>87</v>
      </c>
    </row>
    <row r="123" spans="1:4" ht="12" customHeight="1">
      <c r="A123" s="1091">
        <v>101</v>
      </c>
      <c r="B123" s="1091">
        <v>20.2</v>
      </c>
      <c r="C123" s="1093" t="s">
        <v>261</v>
      </c>
      <c r="D123" s="868">
        <v>88</v>
      </c>
    </row>
    <row r="124" spans="1:4" ht="12" customHeight="1">
      <c r="A124" s="1091">
        <v>102</v>
      </c>
      <c r="B124" s="1091">
        <v>21.1</v>
      </c>
      <c r="C124" s="1093" t="s">
        <v>177</v>
      </c>
      <c r="D124" s="868">
        <v>89</v>
      </c>
    </row>
    <row r="125" spans="1:4" ht="12" customHeight="1">
      <c r="A125" s="1095">
        <v>103</v>
      </c>
      <c r="B125" s="1095">
        <v>21.2</v>
      </c>
      <c r="C125" s="1101" t="s">
        <v>178</v>
      </c>
      <c r="D125" s="869">
        <v>90</v>
      </c>
    </row>
    <row r="127" spans="1:4">
      <c r="A127" s="1178" t="s">
        <v>642</v>
      </c>
      <c r="B127" s="1178"/>
      <c r="C127" s="1178"/>
      <c r="D127" s="1178"/>
    </row>
  </sheetData>
  <mergeCells count="4">
    <mergeCell ref="A65:D65"/>
    <mergeCell ref="A1:D1"/>
    <mergeCell ref="A64:D64"/>
    <mergeCell ref="A127:D127"/>
  </mergeCells>
  <phoneticPr fontId="0" type="noConversion"/>
  <printOptions horizontalCentered="1"/>
  <pageMargins left="0.15" right="0.1" top="0.37" bottom="0.44" header="0.25" footer="0.1"/>
  <pageSetup paperSize="9" orientation="portrait" blackAndWhite="1" r:id="rId1"/>
  <headerFooter alignWithMargins="0"/>
  <rowBreaks count="1" manualBreakCount="1">
    <brk id="64" max="16383" man="1"/>
  </rowBreaks>
</worksheet>
</file>

<file path=xl/worksheets/sheet40.xml><?xml version="1.0" encoding="utf-8"?>
<worksheet xmlns="http://schemas.openxmlformats.org/spreadsheetml/2006/main" xmlns:r="http://schemas.openxmlformats.org/officeDocument/2006/relationships">
  <sheetPr codeName="Sheet39"/>
  <dimension ref="A1:H18"/>
  <sheetViews>
    <sheetView topLeftCell="B10" workbookViewId="0">
      <selection activeCell="M30" sqref="M30"/>
    </sheetView>
  </sheetViews>
  <sheetFormatPr defaultRowHeight="12.75"/>
  <cols>
    <col min="1" max="1" width="9.140625" style="172" hidden="1" customWidth="1"/>
    <col min="2" max="2" width="20.7109375" style="172" customWidth="1"/>
    <col min="3" max="8" width="15.7109375" style="172" customWidth="1"/>
    <col min="9" max="16384" width="9.140625" style="172"/>
  </cols>
  <sheetData>
    <row r="1" spans="2:8" ht="13.5" customHeight="1">
      <c r="B1" s="1229" t="s">
        <v>753</v>
      </c>
      <c r="C1" s="1229"/>
      <c r="D1" s="1229"/>
      <c r="E1" s="1229"/>
      <c r="F1" s="1229"/>
      <c r="G1" s="1229"/>
      <c r="H1" s="1229"/>
    </row>
    <row r="2" spans="2:8" s="466" customFormat="1" ht="20.25" customHeight="1">
      <c r="B2" s="1226" t="str">
        <f>CONCATENATE("Newspapers and Periodicals published in the district of ",District!A1)</f>
        <v>Newspapers and Periodicals published in the district of Bankura</v>
      </c>
      <c r="C2" s="1226"/>
      <c r="D2" s="1226"/>
      <c r="E2" s="1226"/>
      <c r="F2" s="1370"/>
      <c r="G2" s="1370"/>
      <c r="H2" s="1370"/>
    </row>
    <row r="3" spans="2:8" ht="12.75" customHeight="1">
      <c r="B3" s="467"/>
      <c r="C3" s="467"/>
      <c r="D3" s="467"/>
      <c r="E3" s="467"/>
      <c r="F3" s="467"/>
      <c r="G3" s="467"/>
      <c r="H3" s="84" t="s">
        <v>452</v>
      </c>
    </row>
    <row r="4" spans="2:8" ht="29.25" customHeight="1">
      <c r="B4" s="274" t="s">
        <v>614</v>
      </c>
      <c r="C4" s="117" t="s">
        <v>923</v>
      </c>
      <c r="D4" s="117" t="s">
        <v>924</v>
      </c>
      <c r="E4" s="117" t="s">
        <v>925</v>
      </c>
      <c r="F4" s="117" t="s">
        <v>926</v>
      </c>
      <c r="G4" s="117" t="s">
        <v>592</v>
      </c>
      <c r="H4" s="58" t="s">
        <v>439</v>
      </c>
    </row>
    <row r="5" spans="2:8" ht="18" customHeight="1">
      <c r="B5" s="161" t="s">
        <v>418</v>
      </c>
      <c r="C5" s="221" t="s">
        <v>419</v>
      </c>
      <c r="D5" s="221" t="s">
        <v>420</v>
      </c>
      <c r="E5" s="221" t="s">
        <v>421</v>
      </c>
      <c r="F5" s="311" t="s">
        <v>422</v>
      </c>
      <c r="G5" s="311" t="s">
        <v>423</v>
      </c>
      <c r="H5" s="215" t="s">
        <v>424</v>
      </c>
    </row>
    <row r="6" spans="2:8" ht="27" customHeight="1">
      <c r="B6" s="58">
        <f>District!C16</f>
        <v>2010</v>
      </c>
      <c r="C6" s="189" t="s">
        <v>1127</v>
      </c>
      <c r="D6" s="246">
        <v>4</v>
      </c>
      <c r="E6" s="246">
        <v>30</v>
      </c>
      <c r="F6" s="246" t="s">
        <v>1127</v>
      </c>
      <c r="G6" s="246">
        <v>9</v>
      </c>
      <c r="H6" s="33">
        <v>43</v>
      </c>
    </row>
    <row r="7" spans="2:8" ht="27" customHeight="1">
      <c r="B7" s="33">
        <f>District!C17</f>
        <v>2011</v>
      </c>
      <c r="C7" s="50" t="s">
        <v>1127</v>
      </c>
      <c r="D7" s="49">
        <v>8</v>
      </c>
      <c r="E7" s="50">
        <v>33</v>
      </c>
      <c r="F7" s="49">
        <v>1</v>
      </c>
      <c r="G7" s="50">
        <v>11</v>
      </c>
      <c r="H7" s="33">
        <v>53</v>
      </c>
    </row>
    <row r="8" spans="2:8" ht="27" customHeight="1">
      <c r="B8" s="33">
        <f>District!C18</f>
        <v>2012</v>
      </c>
      <c r="C8" s="189" t="s">
        <v>1127</v>
      </c>
      <c r="D8" s="246">
        <v>8</v>
      </c>
      <c r="E8" s="246">
        <v>33</v>
      </c>
      <c r="F8" s="246">
        <v>2</v>
      </c>
      <c r="G8" s="246">
        <v>11</v>
      </c>
      <c r="H8" s="33">
        <v>54</v>
      </c>
    </row>
    <row r="9" spans="2:8" ht="27" customHeight="1">
      <c r="B9" s="33">
        <f>District!C19</f>
        <v>2013</v>
      </c>
      <c r="C9" s="302" t="s">
        <v>1127</v>
      </c>
      <c r="D9" s="183">
        <v>7</v>
      </c>
      <c r="E9" s="302">
        <v>26</v>
      </c>
      <c r="F9" s="183">
        <v>3</v>
      </c>
      <c r="G9" s="302">
        <v>4</v>
      </c>
      <c r="H9" s="33">
        <v>40</v>
      </c>
    </row>
    <row r="10" spans="2:8" ht="27" customHeight="1">
      <c r="B10" s="41">
        <f>District!C20</f>
        <v>2014</v>
      </c>
      <c r="C10" s="50" t="str">
        <f>C17</f>
        <v>-</v>
      </c>
      <c r="D10" s="90">
        <f>D17</f>
        <v>7</v>
      </c>
      <c r="E10" s="90">
        <f>E17</f>
        <v>27</v>
      </c>
      <c r="F10" s="90">
        <f>F17</f>
        <v>3</v>
      </c>
      <c r="G10" s="90">
        <f>G17</f>
        <v>3</v>
      </c>
      <c r="H10" s="33">
        <f>SUM(C10:G10)</f>
        <v>40</v>
      </c>
    </row>
    <row r="11" spans="2:8" ht="18" customHeight="1">
      <c r="B11" s="179" t="s">
        <v>749</v>
      </c>
      <c r="C11" s="1306" t="str">
        <f>"Year : " &amp; B10</f>
        <v>Year : 2014</v>
      </c>
      <c r="D11" s="1306"/>
      <c r="E11" s="1306"/>
      <c r="F11" s="1306"/>
      <c r="G11" s="1306"/>
      <c r="H11" s="1199"/>
    </row>
    <row r="12" spans="2:8" ht="27" customHeight="1">
      <c r="B12" s="29" t="s">
        <v>927</v>
      </c>
      <c r="C12" s="93" t="s">
        <v>1127</v>
      </c>
      <c r="D12" s="468">
        <v>7</v>
      </c>
      <c r="E12" s="468">
        <v>25</v>
      </c>
      <c r="F12" s="468">
        <v>3</v>
      </c>
      <c r="G12" s="468">
        <v>3</v>
      </c>
      <c r="H12" s="58">
        <f>SUM(C12:G12)</f>
        <v>38</v>
      </c>
    </row>
    <row r="13" spans="2:8" ht="27" customHeight="1">
      <c r="B13" s="29" t="s">
        <v>928</v>
      </c>
      <c r="C13" s="64" t="s">
        <v>1127</v>
      </c>
      <c r="D13" s="64" t="s">
        <v>1127</v>
      </c>
      <c r="E13" s="64" t="s">
        <v>1127</v>
      </c>
      <c r="F13" s="64" t="s">
        <v>1127</v>
      </c>
      <c r="G13" s="64" t="s">
        <v>1127</v>
      </c>
      <c r="H13" s="33" t="str">
        <f>IF(SUM(C13:G13)=0,"-",SUM(C13:G13))</f>
        <v>-</v>
      </c>
    </row>
    <row r="14" spans="2:8" ht="27" customHeight="1">
      <c r="B14" s="29" t="s">
        <v>929</v>
      </c>
      <c r="C14" s="64" t="s">
        <v>1127</v>
      </c>
      <c r="D14" s="64" t="s">
        <v>1127</v>
      </c>
      <c r="E14" s="64" t="s">
        <v>1127</v>
      </c>
      <c r="F14" s="64" t="s">
        <v>1127</v>
      </c>
      <c r="G14" s="64" t="s">
        <v>1127</v>
      </c>
      <c r="H14" s="33" t="str">
        <f>IF(SUM(C14:G14)=0,"-",SUM(C14:G14))</f>
        <v>-</v>
      </c>
    </row>
    <row r="15" spans="2:8" ht="27" customHeight="1">
      <c r="B15" s="29" t="s">
        <v>930</v>
      </c>
      <c r="C15" s="64" t="s">
        <v>1127</v>
      </c>
      <c r="D15" s="64" t="s">
        <v>1127</v>
      </c>
      <c r="E15" s="64" t="s">
        <v>1127</v>
      </c>
      <c r="F15" s="64" t="s">
        <v>1127</v>
      </c>
      <c r="G15" s="64" t="s">
        <v>1127</v>
      </c>
      <c r="H15" s="33" t="str">
        <f>IF(SUM(C15:G15)=0,"-",SUM(C15:G15))</f>
        <v>-</v>
      </c>
    </row>
    <row r="16" spans="2:8" ht="27" customHeight="1">
      <c r="B16" s="337" t="s">
        <v>200</v>
      </c>
      <c r="C16" s="64" t="s">
        <v>1127</v>
      </c>
      <c r="D16" s="64" t="s">
        <v>1127</v>
      </c>
      <c r="E16" s="90">
        <v>2</v>
      </c>
      <c r="F16" s="64" t="s">
        <v>1127</v>
      </c>
      <c r="G16" s="64" t="s">
        <v>1127</v>
      </c>
      <c r="H16" s="33">
        <f>SUM(C16:G16)</f>
        <v>2</v>
      </c>
    </row>
    <row r="17" spans="2:8" ht="21.95" customHeight="1">
      <c r="B17" s="209" t="s">
        <v>439</v>
      </c>
      <c r="C17" s="209" t="str">
        <f t="shared" ref="C17:H17" si="0">IF(SUM(C12:C16)=0,"-",SUM(C12:C16))</f>
        <v>-</v>
      </c>
      <c r="D17" s="209">
        <f t="shared" si="0"/>
        <v>7</v>
      </c>
      <c r="E17" s="209">
        <f t="shared" si="0"/>
        <v>27</v>
      </c>
      <c r="F17" s="209">
        <f t="shared" si="0"/>
        <v>3</v>
      </c>
      <c r="G17" s="209">
        <f t="shared" si="0"/>
        <v>3</v>
      </c>
      <c r="H17" s="179">
        <f t="shared" si="0"/>
        <v>40</v>
      </c>
    </row>
    <row r="18" spans="2:8" ht="15.95" customHeight="1">
      <c r="B18" s="377"/>
      <c r="C18" s="378"/>
      <c r="E18" s="652"/>
      <c r="F18" s="652"/>
      <c r="G18" s="652"/>
      <c r="H18" s="736" t="s">
        <v>1436</v>
      </c>
    </row>
  </sheetData>
  <mergeCells count="3">
    <mergeCell ref="B1:H1"/>
    <mergeCell ref="C11:H11"/>
    <mergeCell ref="B2:H2"/>
  </mergeCells>
  <phoneticPr fontId="0" type="noConversion"/>
  <printOptions horizontalCentered="1" verticalCentered="1"/>
  <pageMargins left="0.1" right="0.1" top="0.1" bottom="0.1" header="1" footer="0.1"/>
  <pageSetup paperSize="9" orientation="landscape" r:id="rId1"/>
  <headerFooter alignWithMargins="0"/>
</worksheet>
</file>

<file path=xl/worksheets/sheet41.xml><?xml version="1.0" encoding="utf-8"?>
<worksheet xmlns="http://schemas.openxmlformats.org/spreadsheetml/2006/main" xmlns:r="http://schemas.openxmlformats.org/officeDocument/2006/relationships">
  <sheetPr codeName="Sheet47"/>
  <dimension ref="A1:N28"/>
  <sheetViews>
    <sheetView workbookViewId="0">
      <selection activeCell="M30" sqref="M30"/>
    </sheetView>
  </sheetViews>
  <sheetFormatPr defaultRowHeight="12.75"/>
  <cols>
    <col min="1" max="1" width="13.85546875" style="172" customWidth="1"/>
    <col min="2" max="2" width="9" style="172" customWidth="1"/>
    <col min="3" max="3" width="8.7109375" style="172" customWidth="1"/>
    <col min="4" max="4" width="14.28515625" style="172" customWidth="1"/>
    <col min="5" max="5" width="10.7109375" style="172" customWidth="1"/>
    <col min="6" max="6" width="8.5703125" style="172" customWidth="1"/>
    <col min="7" max="7" width="8.42578125" style="172" customWidth="1"/>
    <col min="8" max="9" width="9.5703125" style="172" customWidth="1"/>
    <col min="10" max="10" width="9.140625" style="172"/>
    <col min="11" max="11" width="8.28515625" style="172" customWidth="1"/>
    <col min="12" max="12" width="8.85546875" style="172" customWidth="1"/>
    <col min="13" max="13" width="8.5703125" style="172" customWidth="1"/>
    <col min="14" max="16384" width="9.140625" style="172"/>
  </cols>
  <sheetData>
    <row r="1" spans="1:14" ht="13.5" customHeight="1">
      <c r="A1" s="1181" t="s">
        <v>813</v>
      </c>
      <c r="B1" s="1181"/>
      <c r="C1" s="1181"/>
      <c r="D1" s="1181"/>
      <c r="E1" s="1181"/>
      <c r="F1" s="1181"/>
      <c r="G1" s="1181"/>
      <c r="H1" s="1181"/>
      <c r="I1" s="1181"/>
      <c r="J1" s="1181"/>
      <c r="K1" s="1181"/>
      <c r="L1" s="1181"/>
      <c r="M1" s="1181"/>
      <c r="N1" s="1181"/>
    </row>
    <row r="2" spans="1:14" s="206" customFormat="1" ht="18" customHeight="1">
      <c r="A2" s="1381" t="str">
        <f>CONCATENATE("Classification of Land Utilization Statistics in the district of ",District!A1)</f>
        <v>Classification of Land Utilization Statistics in the district of Bankura</v>
      </c>
      <c r="B2" s="1381"/>
      <c r="C2" s="1381"/>
      <c r="D2" s="1381"/>
      <c r="E2" s="1381"/>
      <c r="F2" s="1381"/>
      <c r="G2" s="1381"/>
      <c r="H2" s="1381"/>
      <c r="I2" s="1381"/>
      <c r="J2" s="1381"/>
      <c r="K2" s="1381"/>
      <c r="L2" s="1381"/>
      <c r="M2" s="1381"/>
      <c r="N2" s="1381"/>
    </row>
    <row r="3" spans="1:14" ht="14.1" customHeight="1">
      <c r="A3" s="206"/>
      <c r="B3" s="288"/>
      <c r="C3" s="288"/>
      <c r="D3" s="288"/>
      <c r="E3" s="288"/>
      <c r="F3" s="288"/>
      <c r="G3" s="288"/>
      <c r="H3" s="288"/>
      <c r="I3" s="288"/>
      <c r="J3" s="288"/>
      <c r="K3" s="288"/>
      <c r="L3" s="288"/>
      <c r="M3" s="206"/>
      <c r="N3" s="219" t="s">
        <v>280</v>
      </c>
    </row>
    <row r="4" spans="1:14" s="5" customFormat="1" ht="44.25" customHeight="1">
      <c r="A4" s="58" t="s">
        <v>304</v>
      </c>
      <c r="B4" s="336" t="s">
        <v>1318</v>
      </c>
      <c r="C4" s="229" t="s">
        <v>1320</v>
      </c>
      <c r="D4" s="207" t="s">
        <v>84</v>
      </c>
      <c r="E4" s="274" t="s">
        <v>77</v>
      </c>
      <c r="F4" s="1258" t="s">
        <v>76</v>
      </c>
      <c r="G4" s="1259"/>
      <c r="H4" s="1258" t="s">
        <v>201</v>
      </c>
      <c r="I4" s="1259"/>
      <c r="J4" s="274" t="s">
        <v>85</v>
      </c>
      <c r="K4" s="1258" t="s">
        <v>202</v>
      </c>
      <c r="L4" s="1260"/>
      <c r="M4" s="207" t="s">
        <v>86</v>
      </c>
      <c r="N4" s="207" t="s">
        <v>87</v>
      </c>
    </row>
    <row r="5" spans="1:14" s="5" customFormat="1" ht="19.5" customHeight="1">
      <c r="A5" s="213" t="s">
        <v>418</v>
      </c>
      <c r="B5" s="163" t="s">
        <v>419</v>
      </c>
      <c r="C5" s="162" t="s">
        <v>420</v>
      </c>
      <c r="D5" s="297" t="s">
        <v>421</v>
      </c>
      <c r="E5" s="161" t="s">
        <v>422</v>
      </c>
      <c r="F5" s="1382" t="s">
        <v>423</v>
      </c>
      <c r="G5" s="1383"/>
      <c r="H5" s="1382" t="s">
        <v>424</v>
      </c>
      <c r="I5" s="1383"/>
      <c r="J5" s="161" t="s">
        <v>440</v>
      </c>
      <c r="K5" s="1382" t="s">
        <v>441</v>
      </c>
      <c r="L5" s="1384"/>
      <c r="M5" s="297" t="s">
        <v>442</v>
      </c>
      <c r="N5" s="297" t="s">
        <v>443</v>
      </c>
    </row>
    <row r="6" spans="1:14" ht="21.95" customHeight="1">
      <c r="A6" s="814" t="str">
        <f>District!B16</f>
        <v>2009-10</v>
      </c>
      <c r="B6" s="276">
        <f>SUM(C6:N6)</f>
        <v>688</v>
      </c>
      <c r="C6" s="628">
        <v>148.93</v>
      </c>
      <c r="D6" s="645">
        <v>147</v>
      </c>
      <c r="E6" s="628">
        <v>2.31</v>
      </c>
      <c r="F6" s="1371">
        <v>0.81</v>
      </c>
      <c r="G6" s="1372"/>
      <c r="H6" s="1375">
        <v>2.82</v>
      </c>
      <c r="I6" s="1376"/>
      <c r="J6" s="223">
        <v>2.04</v>
      </c>
      <c r="K6" s="1375">
        <v>1.62</v>
      </c>
      <c r="L6" s="1376"/>
      <c r="M6" s="628">
        <v>32.32</v>
      </c>
      <c r="N6" s="223">
        <v>350.15</v>
      </c>
    </row>
    <row r="7" spans="1:14" ht="21.95" customHeight="1">
      <c r="A7" s="226" t="str">
        <f>District!B17</f>
        <v>2010-11</v>
      </c>
      <c r="B7" s="325">
        <v>688</v>
      </c>
      <c r="C7" s="167">
        <v>148.93</v>
      </c>
      <c r="D7" s="343">
        <v>148.47999999999999</v>
      </c>
      <c r="E7" s="167">
        <v>1.42</v>
      </c>
      <c r="F7" s="1373">
        <v>0.78</v>
      </c>
      <c r="G7" s="1374"/>
      <c r="H7" s="1373">
        <v>1.44</v>
      </c>
      <c r="I7" s="1374"/>
      <c r="J7" s="343">
        <v>2.13</v>
      </c>
      <c r="K7" s="1373">
        <v>1.97</v>
      </c>
      <c r="L7" s="1374"/>
      <c r="M7" s="167">
        <v>118.76</v>
      </c>
      <c r="N7" s="343">
        <v>264.08999999999997</v>
      </c>
    </row>
    <row r="8" spans="1:14" ht="21.95" customHeight="1">
      <c r="A8" s="226" t="str">
        <f>District!B18</f>
        <v>2011-12</v>
      </c>
      <c r="B8" s="325">
        <f>SUM(C8:N8)</f>
        <v>688</v>
      </c>
      <c r="C8" s="167">
        <v>148.93</v>
      </c>
      <c r="D8" s="343">
        <v>156.02000000000001</v>
      </c>
      <c r="E8" s="167">
        <v>2.42</v>
      </c>
      <c r="F8" s="1373">
        <v>1.0900000000000001</v>
      </c>
      <c r="G8" s="1374"/>
      <c r="H8" s="1373">
        <v>1.83</v>
      </c>
      <c r="I8" s="1374"/>
      <c r="J8" s="343">
        <v>2.42</v>
      </c>
      <c r="K8" s="1373">
        <v>1.18</v>
      </c>
      <c r="L8" s="1374"/>
      <c r="M8" s="167">
        <v>44.82</v>
      </c>
      <c r="N8" s="343">
        <v>329.29</v>
      </c>
    </row>
    <row r="9" spans="1:14" ht="21.95" customHeight="1">
      <c r="A9" s="226" t="str">
        <f>District!B19</f>
        <v>2012-13</v>
      </c>
      <c r="B9" s="325">
        <f>SUM(C9:N9)</f>
        <v>688</v>
      </c>
      <c r="C9" s="167">
        <v>148.93</v>
      </c>
      <c r="D9" s="343">
        <v>158.52000000000001</v>
      </c>
      <c r="E9" s="167">
        <v>1.65</v>
      </c>
      <c r="F9" s="1373">
        <v>0.97</v>
      </c>
      <c r="G9" s="1374"/>
      <c r="H9" s="1379">
        <v>1.89</v>
      </c>
      <c r="I9" s="1379"/>
      <c r="J9" s="343">
        <v>1.56</v>
      </c>
      <c r="K9" s="1373">
        <v>1.08</v>
      </c>
      <c r="L9" s="1374"/>
      <c r="M9" s="167">
        <v>42.21</v>
      </c>
      <c r="N9" s="343">
        <v>331.19</v>
      </c>
    </row>
    <row r="10" spans="1:14" s="177" customFormat="1" ht="21.95" customHeight="1">
      <c r="A10" s="463" t="str">
        <f>District!B20</f>
        <v>2013-14</v>
      </c>
      <c r="B10" s="630">
        <f>SUM(C10:N10)</f>
        <v>688</v>
      </c>
      <c r="C10" s="165">
        <v>148.93</v>
      </c>
      <c r="D10" s="514">
        <v>161.56</v>
      </c>
      <c r="E10" s="165">
        <v>1.62</v>
      </c>
      <c r="F10" s="1377">
        <v>0.89</v>
      </c>
      <c r="G10" s="1378"/>
      <c r="H10" s="1377">
        <v>1.63</v>
      </c>
      <c r="I10" s="1378"/>
      <c r="J10" s="514">
        <v>1.4</v>
      </c>
      <c r="K10" s="1377">
        <v>0.98</v>
      </c>
      <c r="L10" s="1378"/>
      <c r="M10" s="165">
        <v>34.64</v>
      </c>
      <c r="N10" s="514">
        <v>336.35</v>
      </c>
    </row>
    <row r="11" spans="1:14">
      <c r="A11" s="268"/>
      <c r="B11" s="268"/>
      <c r="C11" s="268"/>
      <c r="D11" s="268"/>
      <c r="E11" s="268"/>
      <c r="F11" s="268"/>
      <c r="G11" s="21"/>
      <c r="H11" s="159"/>
      <c r="I11" s="159"/>
      <c r="J11" s="159"/>
      <c r="N11" s="683" t="s">
        <v>1437</v>
      </c>
    </row>
    <row r="12" spans="1:14">
      <c r="A12" s="268"/>
      <c r="B12" s="268"/>
      <c r="C12" s="268"/>
      <c r="D12" s="268"/>
      <c r="E12" s="268"/>
      <c r="F12" s="268"/>
      <c r="G12" s="268"/>
      <c r="H12" s="268"/>
      <c r="I12" s="268"/>
      <c r="J12" s="268"/>
      <c r="K12" s="268"/>
    </row>
    <row r="13" spans="1:14">
      <c r="A13" s="268"/>
      <c r="B13" s="268"/>
      <c r="C13" s="268"/>
      <c r="D13" s="268"/>
      <c r="E13" s="268"/>
      <c r="F13" s="268"/>
      <c r="G13" s="268"/>
      <c r="H13" s="268"/>
      <c r="I13" s="268"/>
      <c r="J13" s="268"/>
      <c r="K13" s="268"/>
    </row>
    <row r="14" spans="1:14">
      <c r="A14" s="268"/>
      <c r="B14" s="268"/>
      <c r="C14" s="268"/>
      <c r="D14" s="268"/>
      <c r="E14" s="268"/>
      <c r="F14" s="268"/>
      <c r="G14" s="268" t="s">
        <v>1172</v>
      </c>
      <c r="H14" s="268"/>
      <c r="I14" s="268"/>
      <c r="J14" s="268"/>
      <c r="K14" s="268"/>
    </row>
    <row r="15" spans="1:14" ht="13.5" customHeight="1">
      <c r="A15" s="1181" t="s">
        <v>814</v>
      </c>
      <c r="B15" s="1181"/>
      <c r="C15" s="1181"/>
      <c r="D15" s="1181"/>
      <c r="E15" s="1181"/>
      <c r="F15" s="1181"/>
      <c r="G15" s="1181"/>
      <c r="H15" s="1181"/>
      <c r="I15" s="1181"/>
      <c r="J15" s="1181"/>
      <c r="K15" s="1181"/>
      <c r="L15" s="1181"/>
      <c r="M15" s="1181"/>
      <c r="N15" s="1181"/>
    </row>
    <row r="16" spans="1:14" s="466" customFormat="1" ht="18" customHeight="1">
      <c r="A16" s="1226" t="str">
        <f>CONCATENATE("Distribution of Operational Holdings over size-classes in the district of ",District!A1)</f>
        <v>Distribution of Operational Holdings over size-classes in the district of Bankura</v>
      </c>
      <c r="B16" s="1226"/>
      <c r="C16" s="1226"/>
      <c r="D16" s="1226"/>
      <c r="E16" s="1226"/>
      <c r="F16" s="1226"/>
      <c r="G16" s="1226"/>
      <c r="H16" s="1226"/>
      <c r="I16" s="1226"/>
      <c r="J16" s="1226"/>
      <c r="K16" s="1226"/>
      <c r="L16" s="1370"/>
      <c r="M16" s="1370"/>
      <c r="N16" s="1370"/>
    </row>
    <row r="17" spans="1:14" ht="14.1" customHeight="1">
      <c r="A17" s="467"/>
      <c r="B17" s="469"/>
      <c r="C17" s="469"/>
      <c r="D17" s="469"/>
      <c r="E17" s="469"/>
      <c r="F17" s="469"/>
      <c r="G17" s="469"/>
      <c r="H17" s="469"/>
      <c r="I17" s="469"/>
      <c r="J17" s="469"/>
      <c r="K17" s="469"/>
      <c r="L17" s="469"/>
      <c r="M17" s="469"/>
      <c r="N17" s="114" t="s">
        <v>937</v>
      </c>
    </row>
    <row r="18" spans="1:14" ht="19.5" customHeight="1">
      <c r="A18" s="1196" t="s">
        <v>304</v>
      </c>
      <c r="B18" s="1191" t="s">
        <v>936</v>
      </c>
      <c r="C18" s="1191"/>
      <c r="D18" s="1191"/>
      <c r="E18" s="1191"/>
      <c r="F18" s="1191"/>
      <c r="G18" s="1191"/>
      <c r="H18" s="1191"/>
      <c r="I18" s="1191"/>
      <c r="J18" s="1191"/>
      <c r="K18" s="1191"/>
      <c r="L18" s="1191"/>
      <c r="M18" s="1192"/>
      <c r="N18" s="1194" t="s">
        <v>80</v>
      </c>
    </row>
    <row r="19" spans="1:14" ht="18" customHeight="1">
      <c r="A19" s="1208"/>
      <c r="B19" s="1191" t="s">
        <v>931</v>
      </c>
      <c r="C19" s="1192"/>
      <c r="D19" s="1193" t="s">
        <v>932</v>
      </c>
      <c r="E19" s="1192"/>
      <c r="F19" s="1193" t="s">
        <v>933</v>
      </c>
      <c r="G19" s="1192"/>
      <c r="H19" s="1193" t="s">
        <v>934</v>
      </c>
      <c r="I19" s="1192"/>
      <c r="J19" s="1193" t="s">
        <v>935</v>
      </c>
      <c r="K19" s="1192"/>
      <c r="L19" s="1193" t="s">
        <v>439</v>
      </c>
      <c r="M19" s="1192"/>
      <c r="N19" s="1217"/>
    </row>
    <row r="20" spans="1:14" ht="31.5" customHeight="1">
      <c r="A20" s="1197"/>
      <c r="B20" s="263" t="s">
        <v>203</v>
      </c>
      <c r="C20" s="339" t="s">
        <v>82</v>
      </c>
      <c r="D20" s="263" t="s">
        <v>203</v>
      </c>
      <c r="E20" s="339" t="s">
        <v>81</v>
      </c>
      <c r="F20" s="263" t="s">
        <v>203</v>
      </c>
      <c r="G20" s="339" t="s">
        <v>81</v>
      </c>
      <c r="H20" s="263" t="s">
        <v>203</v>
      </c>
      <c r="I20" s="263" t="s">
        <v>81</v>
      </c>
      <c r="J20" s="263" t="s">
        <v>203</v>
      </c>
      <c r="K20" s="263" t="s">
        <v>81</v>
      </c>
      <c r="L20" s="263" t="s">
        <v>203</v>
      </c>
      <c r="M20" s="263" t="s">
        <v>83</v>
      </c>
      <c r="N20" s="1195"/>
    </row>
    <row r="21" spans="1:14" ht="18.75" customHeight="1">
      <c r="A21" s="181" t="s">
        <v>418</v>
      </c>
      <c r="B21" s="404" t="s">
        <v>419</v>
      </c>
      <c r="C21" s="470" t="s">
        <v>420</v>
      </c>
      <c r="D21" s="404" t="s">
        <v>421</v>
      </c>
      <c r="E21" s="470" t="s">
        <v>422</v>
      </c>
      <c r="F21" s="404" t="s">
        <v>423</v>
      </c>
      <c r="G21" s="470" t="s">
        <v>424</v>
      </c>
      <c r="H21" s="404" t="s">
        <v>440</v>
      </c>
      <c r="I21" s="404" t="s">
        <v>441</v>
      </c>
      <c r="J21" s="470" t="s">
        <v>442</v>
      </c>
      <c r="K21" s="404" t="s">
        <v>443</v>
      </c>
      <c r="L21" s="470" t="s">
        <v>537</v>
      </c>
      <c r="M21" s="404" t="s">
        <v>538</v>
      </c>
      <c r="N21" s="404" t="s">
        <v>539</v>
      </c>
    </row>
    <row r="22" spans="1:14" ht="33" customHeight="1">
      <c r="A22" s="41" t="s">
        <v>1615</v>
      </c>
      <c r="B22" s="248">
        <v>258414</v>
      </c>
      <c r="C22" s="227">
        <v>128494</v>
      </c>
      <c r="D22" s="248">
        <v>85292</v>
      </c>
      <c r="E22" s="227">
        <v>125064</v>
      </c>
      <c r="F22" s="248">
        <v>36895</v>
      </c>
      <c r="G22" s="227">
        <v>97059</v>
      </c>
      <c r="H22" s="248">
        <v>7423</v>
      </c>
      <c r="I22" s="248">
        <v>36707</v>
      </c>
      <c r="J22" s="227">
        <v>7</v>
      </c>
      <c r="K22" s="248">
        <v>84</v>
      </c>
      <c r="L22" s="40">
        <f>SUM(B22,D22,F22,H22,J22)</f>
        <v>388031</v>
      </c>
      <c r="M22" s="41">
        <f>SUM(C22,E22,G22,I22,K22)</f>
        <v>387408</v>
      </c>
      <c r="N22" s="473">
        <f>ROUND(M22/L22,2)</f>
        <v>1</v>
      </c>
    </row>
    <row r="23" spans="1:14" ht="33" customHeight="1">
      <c r="A23" s="212" t="s">
        <v>269</v>
      </c>
      <c r="B23" s="471">
        <v>275108</v>
      </c>
      <c r="C23" s="472">
        <v>135442</v>
      </c>
      <c r="D23" s="471">
        <v>84905</v>
      </c>
      <c r="E23" s="472">
        <v>125671</v>
      </c>
      <c r="F23" s="471">
        <v>37932</v>
      </c>
      <c r="G23" s="472">
        <v>100578</v>
      </c>
      <c r="H23" s="471">
        <v>5326</v>
      </c>
      <c r="I23" s="471">
        <v>26059</v>
      </c>
      <c r="J23" s="472">
        <v>7</v>
      </c>
      <c r="K23" s="471">
        <v>84</v>
      </c>
      <c r="L23" s="40">
        <f>SUM(B23,D23,F23,H23,J23)</f>
        <v>403278</v>
      </c>
      <c r="M23" s="41">
        <f>SUM(C23,E23,G23,I23,K23)</f>
        <v>387834</v>
      </c>
      <c r="N23" s="473">
        <f>ROUND(M23/L23,2)</f>
        <v>0.96</v>
      </c>
    </row>
    <row r="24" spans="1:14">
      <c r="A24" s="729" t="s">
        <v>486</v>
      </c>
      <c r="B24" s="727" t="s">
        <v>939</v>
      </c>
      <c r="C24" s="651"/>
      <c r="D24" s="21"/>
      <c r="E24" s="21"/>
      <c r="F24" s="21"/>
      <c r="G24" s="21"/>
      <c r="H24" s="21"/>
      <c r="J24" s="1380" t="s">
        <v>1438</v>
      </c>
      <c r="K24" s="1380"/>
      <c r="L24" s="1380"/>
      <c r="M24" s="1380"/>
      <c r="N24" s="1380"/>
    </row>
    <row r="25" spans="1:14">
      <c r="A25" s="729" t="s">
        <v>1513</v>
      </c>
      <c r="B25" s="727" t="s">
        <v>283</v>
      </c>
      <c r="C25" s="651"/>
      <c r="D25" s="21"/>
      <c r="E25" s="21"/>
      <c r="F25" s="21"/>
      <c r="G25" s="21"/>
      <c r="H25" s="21"/>
      <c r="J25" s="268"/>
      <c r="K25" s="268"/>
      <c r="L25" s="268"/>
      <c r="M25" s="268"/>
      <c r="N25" s="268"/>
    </row>
    <row r="26" spans="1:14">
      <c r="A26" s="729" t="s">
        <v>1514</v>
      </c>
      <c r="B26" s="727" t="s">
        <v>284</v>
      </c>
      <c r="C26" s="651"/>
      <c r="D26" s="21"/>
      <c r="E26" s="21"/>
      <c r="F26" s="21"/>
      <c r="G26" s="21"/>
      <c r="H26" s="21"/>
      <c r="J26" s="268"/>
      <c r="K26" s="268"/>
      <c r="L26" s="268"/>
      <c r="M26" s="268"/>
      <c r="N26" s="268"/>
    </row>
    <row r="27" spans="1:14">
      <c r="A27" s="729" t="s">
        <v>1515</v>
      </c>
      <c r="B27" s="727" t="s">
        <v>285</v>
      </c>
      <c r="C27" s="651"/>
      <c r="D27" s="21"/>
      <c r="E27" s="21"/>
      <c r="F27" s="21"/>
      <c r="G27" s="21"/>
      <c r="H27" s="21"/>
      <c r="J27" s="268"/>
      <c r="K27" s="268"/>
      <c r="L27" s="268"/>
      <c r="M27" s="268"/>
      <c r="N27" s="268"/>
    </row>
    <row r="28" spans="1:14">
      <c r="A28" s="729" t="s">
        <v>1516</v>
      </c>
      <c r="B28" s="727" t="s">
        <v>940</v>
      </c>
      <c r="C28" s="651"/>
      <c r="D28" s="21"/>
      <c r="E28" s="21"/>
      <c r="F28" s="21"/>
      <c r="G28" s="21"/>
      <c r="H28" s="21"/>
      <c r="J28" s="268"/>
      <c r="K28" s="268"/>
      <c r="L28" s="268"/>
      <c r="M28" s="268"/>
      <c r="N28" s="268"/>
    </row>
  </sheetData>
  <mergeCells count="35">
    <mergeCell ref="A1:N1"/>
    <mergeCell ref="A2:N2"/>
    <mergeCell ref="F5:G5"/>
    <mergeCell ref="H4:I4"/>
    <mergeCell ref="H5:I5"/>
    <mergeCell ref="F4:G4"/>
    <mergeCell ref="K5:L5"/>
    <mergeCell ref="K4:L4"/>
    <mergeCell ref="K6:L6"/>
    <mergeCell ref="K7:L7"/>
    <mergeCell ref="K8:L8"/>
    <mergeCell ref="J24:N24"/>
    <mergeCell ref="L19:M19"/>
    <mergeCell ref="A15:N15"/>
    <mergeCell ref="A16:N16"/>
    <mergeCell ref="A18:A20"/>
    <mergeCell ref="B18:M18"/>
    <mergeCell ref="N18:N20"/>
    <mergeCell ref="B19:C19"/>
    <mergeCell ref="F10:G10"/>
    <mergeCell ref="J19:K19"/>
    <mergeCell ref="D19:E19"/>
    <mergeCell ref="F19:G19"/>
    <mergeCell ref="H19:I19"/>
    <mergeCell ref="H10:I10"/>
    <mergeCell ref="K10:L10"/>
    <mergeCell ref="F9:G9"/>
    <mergeCell ref="H9:I9"/>
    <mergeCell ref="K9:L9"/>
    <mergeCell ref="F6:G6"/>
    <mergeCell ref="F7:G7"/>
    <mergeCell ref="F8:G8"/>
    <mergeCell ref="H6:I6"/>
    <mergeCell ref="H7:I7"/>
    <mergeCell ref="H8:I8"/>
  </mergeCells>
  <phoneticPr fontId="0" type="noConversion"/>
  <printOptions horizontalCentered="1" verticalCentered="1"/>
  <pageMargins left="0.1" right="0.1" top="0.1" bottom="0.1" header="0.7" footer="0.1"/>
  <pageSetup paperSize="9" orientation="landscape" r:id="rId1"/>
  <headerFooter alignWithMargins="0"/>
</worksheet>
</file>

<file path=xl/worksheets/sheet42.xml><?xml version="1.0" encoding="utf-8"?>
<worksheet xmlns="http://schemas.openxmlformats.org/spreadsheetml/2006/main" xmlns:r="http://schemas.openxmlformats.org/officeDocument/2006/relationships">
  <sheetPr codeName="Sheet37"/>
  <dimension ref="A1:L55"/>
  <sheetViews>
    <sheetView workbookViewId="0">
      <selection activeCell="J10" sqref="J10"/>
    </sheetView>
  </sheetViews>
  <sheetFormatPr defaultRowHeight="12.4" customHeight="1"/>
  <cols>
    <col min="1" max="1" width="3.28515625" style="172" customWidth="1"/>
    <col min="2" max="2" width="19.7109375" style="172" customWidth="1"/>
    <col min="3" max="7" width="11.7109375" style="172" customWidth="1"/>
    <col min="8" max="16384" width="9.140625" style="172"/>
  </cols>
  <sheetData>
    <row r="1" spans="1:12" ht="13.5" customHeight="1">
      <c r="A1" s="1181" t="s">
        <v>815</v>
      </c>
      <c r="B1" s="1181"/>
      <c r="C1" s="1181"/>
      <c r="D1" s="1181"/>
      <c r="E1" s="1181"/>
      <c r="F1" s="1181"/>
      <c r="G1" s="1181"/>
    </row>
    <row r="2" spans="1:12" s="206" customFormat="1" ht="33" customHeight="1">
      <c r="A2" s="1362" t="str">
        <f>CONCATENATE("Area of Vested Agricultural Land distributed and Number of Beneficiaries 
in the district of ",District!A1)</f>
        <v>Area of Vested Agricultural Land distributed and Number of Beneficiaries 
in the district of Bankura</v>
      </c>
      <c r="B2" s="1362"/>
      <c r="C2" s="1362"/>
      <c r="D2" s="1362"/>
      <c r="E2" s="1362"/>
      <c r="F2" s="1362"/>
      <c r="G2" s="1362"/>
    </row>
    <row r="3" spans="1:12" ht="16.5" customHeight="1">
      <c r="A3" s="1258" t="s">
        <v>1029</v>
      </c>
      <c r="B3" s="1260"/>
      <c r="C3" s="1395" t="s">
        <v>570</v>
      </c>
      <c r="D3" s="1193" t="s">
        <v>1032</v>
      </c>
      <c r="E3" s="1191"/>
      <c r="F3" s="1191"/>
      <c r="G3" s="1192"/>
    </row>
    <row r="4" spans="1:12" ht="26.25" customHeight="1">
      <c r="A4" s="1261"/>
      <c r="B4" s="1263"/>
      <c r="C4" s="1396"/>
      <c r="D4" s="291" t="s">
        <v>1163</v>
      </c>
      <c r="E4" s="290" t="s">
        <v>1164</v>
      </c>
      <c r="F4" s="117" t="s">
        <v>592</v>
      </c>
      <c r="G4" s="58" t="s">
        <v>439</v>
      </c>
    </row>
    <row r="5" spans="1:12" ht="18" customHeight="1">
      <c r="A5" s="1393" t="s">
        <v>418</v>
      </c>
      <c r="B5" s="1394"/>
      <c r="C5" s="264" t="s">
        <v>419</v>
      </c>
      <c r="D5" s="155" t="s">
        <v>420</v>
      </c>
      <c r="E5" s="155" t="s">
        <v>421</v>
      </c>
      <c r="F5" s="155" t="s">
        <v>422</v>
      </c>
      <c r="G5" s="264" t="s">
        <v>423</v>
      </c>
    </row>
    <row r="6" spans="1:12" ht="20.100000000000001" customHeight="1">
      <c r="A6" s="1391" t="s">
        <v>1720</v>
      </c>
      <c r="B6" s="1392"/>
      <c r="C6" s="1156">
        <v>26069</v>
      </c>
      <c r="D6" s="1157">
        <v>93015</v>
      </c>
      <c r="E6" s="820">
        <v>37308</v>
      </c>
      <c r="F6" s="1157">
        <v>49690</v>
      </c>
      <c r="G6" s="820">
        <f>SUM(D6:F6)</f>
        <v>180013</v>
      </c>
      <c r="H6"/>
      <c r="I6"/>
      <c r="J6"/>
      <c r="K6"/>
      <c r="L6"/>
    </row>
    <row r="7" spans="1:12" ht="20.100000000000001" customHeight="1">
      <c r="A7" s="1385" t="s">
        <v>1109</v>
      </c>
      <c r="B7" s="1386"/>
      <c r="C7" s="1158">
        <v>26126</v>
      </c>
      <c r="D7" s="842">
        <v>94157</v>
      </c>
      <c r="E7" s="831">
        <v>37387</v>
      </c>
      <c r="F7" s="842">
        <v>50114</v>
      </c>
      <c r="G7" s="831">
        <f>SUM(D7:F7)</f>
        <v>181658</v>
      </c>
      <c r="H7"/>
      <c r="I7"/>
      <c r="J7"/>
      <c r="K7"/>
      <c r="L7"/>
    </row>
    <row r="8" spans="1:12" ht="20.100000000000001" customHeight="1">
      <c r="A8" s="1385" t="s">
        <v>1110</v>
      </c>
      <c r="B8" s="1386"/>
      <c r="C8" s="1158">
        <v>26143</v>
      </c>
      <c r="D8" s="842">
        <v>94306</v>
      </c>
      <c r="E8" s="831">
        <v>37758</v>
      </c>
      <c r="F8" s="842">
        <v>50430</v>
      </c>
      <c r="G8" s="831">
        <f>SUM(D8:F8)</f>
        <v>182494</v>
      </c>
      <c r="H8"/>
      <c r="I8"/>
      <c r="J8"/>
      <c r="K8"/>
      <c r="L8"/>
    </row>
    <row r="9" spans="1:12" ht="20.100000000000001" customHeight="1">
      <c r="A9" s="1385" t="s">
        <v>493</v>
      </c>
      <c r="B9" s="1387"/>
      <c r="C9" s="1158">
        <v>26248</v>
      </c>
      <c r="D9" s="842">
        <v>94683</v>
      </c>
      <c r="E9" s="831">
        <v>37909</v>
      </c>
      <c r="F9" s="842">
        <v>50631</v>
      </c>
      <c r="G9" s="831">
        <f>SUM(D9:F9)</f>
        <v>183223</v>
      </c>
      <c r="H9"/>
      <c r="I9"/>
      <c r="J9"/>
      <c r="K9"/>
      <c r="L9"/>
    </row>
    <row r="10" spans="1:12" ht="20.100000000000001" customHeight="1">
      <c r="A10" s="1388" t="s">
        <v>1634</v>
      </c>
      <c r="B10" s="1389"/>
      <c r="C10" s="1159">
        <v>23389</v>
      </c>
      <c r="D10" s="844">
        <v>100024</v>
      </c>
      <c r="E10" s="845">
        <v>39586</v>
      </c>
      <c r="F10" s="844">
        <v>52305</v>
      </c>
      <c r="G10" s="845">
        <v>191915</v>
      </c>
    </row>
    <row r="11" spans="1:12" ht="12.75" customHeight="1">
      <c r="A11" s="474"/>
      <c r="B11" s="270"/>
      <c r="C11" s="177"/>
      <c r="D11" s="683"/>
      <c r="E11" s="683"/>
      <c r="F11" s="683"/>
      <c r="G11" s="683" t="s">
        <v>1439</v>
      </c>
    </row>
    <row r="12" spans="1:12" ht="9.75" customHeight="1">
      <c r="A12" s="474"/>
      <c r="B12" s="270"/>
      <c r="D12" s="159"/>
      <c r="E12" s="159"/>
      <c r="F12" s="159"/>
      <c r="G12" s="159"/>
    </row>
    <row r="13" spans="1:12" ht="13.5" customHeight="1">
      <c r="A13" s="1390" t="s">
        <v>816</v>
      </c>
      <c r="B13" s="1390"/>
      <c r="C13" s="1390"/>
      <c r="D13" s="1390"/>
      <c r="E13" s="1390"/>
      <c r="F13" s="1390"/>
      <c r="G13" s="1390"/>
    </row>
    <row r="14" spans="1:12" s="206" customFormat="1" ht="18" customHeight="1">
      <c r="A14" s="1381" t="str">
        <f>CONCATENATE("Area under Principal Crops in the district of ",District!A1)</f>
        <v>Area under Principal Crops in the district of Bankura</v>
      </c>
      <c r="B14" s="1381"/>
      <c r="C14" s="1381"/>
      <c r="D14" s="1381"/>
      <c r="E14" s="1381"/>
      <c r="F14" s="1381"/>
      <c r="G14" s="1381"/>
    </row>
    <row r="15" spans="1:12" ht="12" customHeight="1">
      <c r="A15" s="206"/>
      <c r="B15" s="206"/>
      <c r="C15" s="206"/>
      <c r="D15" s="206"/>
      <c r="E15" s="206"/>
      <c r="F15" s="206"/>
      <c r="G15" s="475" t="s">
        <v>1027</v>
      </c>
    </row>
    <row r="16" spans="1:12" ht="15" customHeight="1">
      <c r="A16" s="1193" t="s">
        <v>950</v>
      </c>
      <c r="B16" s="1191"/>
      <c r="C16" s="212" t="str">
        <f>District!B11</f>
        <v>2009-10</v>
      </c>
      <c r="D16" s="231" t="str">
        <f>District!C11</f>
        <v>2010-11</v>
      </c>
      <c r="E16" s="212" t="str">
        <f>District!D11</f>
        <v>2011-12</v>
      </c>
      <c r="F16" s="231" t="str">
        <f>District!E11</f>
        <v>2012-13</v>
      </c>
      <c r="G16" s="212" t="str">
        <f>District!F11</f>
        <v>2013-14</v>
      </c>
    </row>
    <row r="17" spans="1:7" ht="15" customHeight="1">
      <c r="A17" s="1201" t="s">
        <v>418</v>
      </c>
      <c r="B17" s="1191"/>
      <c r="C17" s="221" t="s">
        <v>419</v>
      </c>
      <c r="D17" s="221" t="s">
        <v>420</v>
      </c>
      <c r="E17" s="221" t="s">
        <v>421</v>
      </c>
      <c r="F17" s="221" t="s">
        <v>422</v>
      </c>
      <c r="G17" s="213" t="s">
        <v>423</v>
      </c>
    </row>
    <row r="18" spans="1:7" ht="12" customHeight="1">
      <c r="A18" s="45" t="s">
        <v>941</v>
      </c>
      <c r="B18" s="87"/>
      <c r="C18" s="406"/>
      <c r="D18" s="406"/>
      <c r="E18" s="406"/>
      <c r="F18" s="406"/>
      <c r="G18" s="478"/>
    </row>
    <row r="19" spans="1:7" ht="14.1" customHeight="1">
      <c r="A19" s="168" t="s">
        <v>942</v>
      </c>
      <c r="B19" s="87" t="s">
        <v>951</v>
      </c>
      <c r="C19" s="837">
        <f>SUM(C20:C22)</f>
        <v>377.3</v>
      </c>
      <c r="D19" s="837">
        <f>SUM(D20:D22)</f>
        <v>198</v>
      </c>
      <c r="E19" s="837">
        <f>SUM(E20:E22)</f>
        <v>377</v>
      </c>
      <c r="F19" s="479">
        <f>SUM(F20:F22)</f>
        <v>376.2</v>
      </c>
      <c r="G19" s="479">
        <f>SUM(G20:G22)</f>
        <v>377.59999999999997</v>
      </c>
    </row>
    <row r="20" spans="1:7" ht="14.1" customHeight="1">
      <c r="A20" s="168"/>
      <c r="B20" s="190" t="s">
        <v>952</v>
      </c>
      <c r="C20" s="838">
        <v>13.5</v>
      </c>
      <c r="D20" s="839">
        <v>13</v>
      </c>
      <c r="E20" s="839">
        <v>16.5</v>
      </c>
      <c r="F20" s="839">
        <v>19</v>
      </c>
      <c r="G20" s="839">
        <v>19.7</v>
      </c>
    </row>
    <row r="21" spans="1:7" ht="14.1" customHeight="1">
      <c r="A21" s="168"/>
      <c r="B21" s="190" t="s">
        <v>953</v>
      </c>
      <c r="C21" s="838">
        <v>318.2</v>
      </c>
      <c r="D21" s="839">
        <v>148</v>
      </c>
      <c r="E21" s="839">
        <v>318</v>
      </c>
      <c r="F21" s="839">
        <v>322.39999999999998</v>
      </c>
      <c r="G21" s="839">
        <v>317.89999999999998</v>
      </c>
    </row>
    <row r="22" spans="1:7" ht="14.1" customHeight="1">
      <c r="A22" s="168"/>
      <c r="B22" s="190" t="s">
        <v>954</v>
      </c>
      <c r="C22" s="838">
        <v>45.6</v>
      </c>
      <c r="D22" s="839">
        <v>37</v>
      </c>
      <c r="E22" s="839">
        <v>42.5</v>
      </c>
      <c r="F22" s="839">
        <v>34.799999999999997</v>
      </c>
      <c r="G22" s="839">
        <v>40</v>
      </c>
    </row>
    <row r="23" spans="1:7" ht="14.1" customHeight="1">
      <c r="A23" s="168" t="s">
        <v>943</v>
      </c>
      <c r="B23" s="190" t="s">
        <v>956</v>
      </c>
      <c r="C23" s="838">
        <v>4.0999999999999996</v>
      </c>
      <c r="D23" s="839">
        <v>3</v>
      </c>
      <c r="E23" s="839">
        <v>2.7</v>
      </c>
      <c r="F23" s="839">
        <v>2.7</v>
      </c>
      <c r="G23" s="839">
        <v>3.5</v>
      </c>
    </row>
    <row r="24" spans="1:7" ht="14.1" customHeight="1">
      <c r="A24" s="168" t="s">
        <v>944</v>
      </c>
      <c r="B24" s="190" t="s">
        <v>957</v>
      </c>
      <c r="C24" s="838" t="s">
        <v>1127</v>
      </c>
      <c r="D24" s="839" t="s">
        <v>1127</v>
      </c>
      <c r="E24" s="839" t="s">
        <v>1127</v>
      </c>
      <c r="F24" s="839" t="s">
        <v>1127</v>
      </c>
      <c r="G24" s="839" t="s">
        <v>1127</v>
      </c>
    </row>
    <row r="25" spans="1:7" ht="14.1" customHeight="1">
      <c r="A25" s="168" t="s">
        <v>945</v>
      </c>
      <c r="B25" s="190" t="s">
        <v>958</v>
      </c>
      <c r="C25" s="838">
        <v>0.2</v>
      </c>
      <c r="D25" s="839">
        <v>0.3</v>
      </c>
      <c r="E25" s="839">
        <v>0.2</v>
      </c>
      <c r="F25" s="839">
        <v>0.3</v>
      </c>
      <c r="G25" s="839">
        <v>0.2</v>
      </c>
    </row>
    <row r="26" spans="1:7" ht="14.1" customHeight="1">
      <c r="A26" s="168" t="s">
        <v>946</v>
      </c>
      <c r="B26" s="190" t="s">
        <v>959</v>
      </c>
      <c r="C26" s="838">
        <v>0.3</v>
      </c>
      <c r="D26" s="839">
        <v>0.1</v>
      </c>
      <c r="E26" s="839">
        <v>0.2</v>
      </c>
      <c r="F26" s="839">
        <v>0.3</v>
      </c>
      <c r="G26" s="839">
        <v>0.1</v>
      </c>
    </row>
    <row r="27" spans="1:7" ht="13.5" customHeight="1">
      <c r="A27" s="76"/>
      <c r="B27" s="87" t="s">
        <v>960</v>
      </c>
      <c r="C27" s="479">
        <f>SUM((C23:C26),C19)</f>
        <v>381.90000000000003</v>
      </c>
      <c r="D27" s="479">
        <f>SUM((D23:D26),D19)</f>
        <v>201.4</v>
      </c>
      <c r="E27" s="479">
        <f>SUM((E23:E26),E19)</f>
        <v>380.1</v>
      </c>
      <c r="F27" s="479">
        <f>SUM((F23:F26),F19)</f>
        <v>379.5</v>
      </c>
      <c r="G27" s="479">
        <f>SUM((G23:G26),G19)</f>
        <v>381.4</v>
      </c>
    </row>
    <row r="28" spans="1:7" ht="14.1" customHeight="1">
      <c r="A28" s="168" t="s">
        <v>947</v>
      </c>
      <c r="B28" s="190" t="s">
        <v>450</v>
      </c>
      <c r="C28" s="90" t="s">
        <v>579</v>
      </c>
      <c r="D28" s="49" t="s">
        <v>579</v>
      </c>
      <c r="E28" s="90" t="s">
        <v>579</v>
      </c>
      <c r="F28" s="90" t="s">
        <v>579</v>
      </c>
      <c r="G28" s="49" t="s">
        <v>579</v>
      </c>
    </row>
    <row r="29" spans="1:7" ht="14.1" customHeight="1">
      <c r="A29" s="168" t="s">
        <v>948</v>
      </c>
      <c r="B29" s="190" t="s">
        <v>961</v>
      </c>
      <c r="C29" s="90" t="s">
        <v>1127</v>
      </c>
      <c r="D29" s="90" t="s">
        <v>1127</v>
      </c>
      <c r="E29" s="90" t="s">
        <v>1127</v>
      </c>
      <c r="F29" s="90" t="s">
        <v>1127</v>
      </c>
      <c r="G29" s="49" t="s">
        <v>1127</v>
      </c>
    </row>
    <row r="30" spans="1:7" ht="14.1" customHeight="1">
      <c r="A30" s="168" t="s">
        <v>949</v>
      </c>
      <c r="B30" s="190" t="s">
        <v>962</v>
      </c>
      <c r="C30" s="838">
        <v>0.2</v>
      </c>
      <c r="D30" s="839">
        <v>0.2</v>
      </c>
      <c r="E30" s="839">
        <v>0.2</v>
      </c>
      <c r="F30" s="839">
        <v>0.1</v>
      </c>
      <c r="G30" s="839">
        <v>0.3</v>
      </c>
    </row>
    <row r="31" spans="1:7" ht="12.75" customHeight="1">
      <c r="A31" s="406"/>
      <c r="B31" s="87" t="s">
        <v>963</v>
      </c>
      <c r="C31" s="73">
        <f>SUM(C28:C30)</f>
        <v>0.2</v>
      </c>
      <c r="D31" s="73">
        <f>SUM(D28:D30)</f>
        <v>0.2</v>
      </c>
      <c r="E31" s="73">
        <f>SUM(E28:E30)</f>
        <v>0.2</v>
      </c>
      <c r="F31" s="73">
        <f>SUM(F28:F30)</f>
        <v>0.1</v>
      </c>
      <c r="G31" s="479">
        <f>SUM(G28:G30)</f>
        <v>0.3</v>
      </c>
    </row>
    <row r="32" spans="1:7" ht="12.75" customHeight="1">
      <c r="A32" s="406"/>
      <c r="B32" s="87" t="s">
        <v>964</v>
      </c>
      <c r="C32" s="479">
        <f>SUM(C27,C31)</f>
        <v>382.1</v>
      </c>
      <c r="D32" s="479">
        <f>SUM(D27,D31)</f>
        <v>201.6</v>
      </c>
      <c r="E32" s="479">
        <f>SUM(E27,E31)</f>
        <v>380.3</v>
      </c>
      <c r="F32" s="479">
        <f>SUM(F27,F31)</f>
        <v>379.6</v>
      </c>
      <c r="G32" s="479">
        <f>SUM(G27,G31)</f>
        <v>381.7</v>
      </c>
    </row>
    <row r="33" spans="1:7" ht="14.1" customHeight="1">
      <c r="A33" s="45" t="s">
        <v>1108</v>
      </c>
      <c r="B33" s="840"/>
      <c r="C33" s="312"/>
      <c r="D33" s="312"/>
      <c r="E33" s="485"/>
      <c r="F33" s="485"/>
      <c r="G33" s="485"/>
    </row>
    <row r="34" spans="1:7" ht="14.1" customHeight="1">
      <c r="A34" s="484" t="s">
        <v>942</v>
      </c>
      <c r="B34" s="190" t="s">
        <v>1396</v>
      </c>
      <c r="C34" s="312">
        <v>14.4</v>
      </c>
      <c r="D34" s="485">
        <v>8.1999999999999993</v>
      </c>
      <c r="E34" s="485">
        <v>10.199999999999999</v>
      </c>
      <c r="F34" s="485">
        <v>11.1</v>
      </c>
      <c r="G34" s="485">
        <v>11.3</v>
      </c>
    </row>
    <row r="35" spans="1:7" ht="14.1" customHeight="1">
      <c r="A35" s="484" t="s">
        <v>943</v>
      </c>
      <c r="B35" s="190" t="s">
        <v>1503</v>
      </c>
      <c r="C35" s="90" t="s">
        <v>579</v>
      </c>
      <c r="D35" s="90" t="s">
        <v>579</v>
      </c>
      <c r="E35" s="90" t="s">
        <v>579</v>
      </c>
      <c r="F35" s="90" t="s">
        <v>579</v>
      </c>
      <c r="G35" s="49">
        <v>0.1</v>
      </c>
    </row>
    <row r="36" spans="1:7" ht="14.1" customHeight="1">
      <c r="A36" s="484" t="s">
        <v>944</v>
      </c>
      <c r="B36" s="190" t="s">
        <v>965</v>
      </c>
      <c r="C36" s="838">
        <v>22.8</v>
      </c>
      <c r="D36" s="839">
        <v>18.5</v>
      </c>
      <c r="E36" s="839">
        <v>20.7</v>
      </c>
      <c r="F36" s="839">
        <v>21</v>
      </c>
      <c r="G36" s="839">
        <v>19.5</v>
      </c>
    </row>
    <row r="37" spans="1:7" ht="12.75" customHeight="1">
      <c r="A37" s="406"/>
      <c r="B37" s="87" t="s">
        <v>966</v>
      </c>
      <c r="C37" s="837">
        <f>SUM(C34:C36)</f>
        <v>37.200000000000003</v>
      </c>
      <c r="D37" s="837">
        <f>SUM(D34:D36)</f>
        <v>26.7</v>
      </c>
      <c r="E37" s="837">
        <f>SUM(E34:E36)</f>
        <v>30.9</v>
      </c>
      <c r="F37" s="479">
        <f>SUM(F34:F36)</f>
        <v>32.1</v>
      </c>
      <c r="G37" s="479">
        <f>SUM(G34:G36)</f>
        <v>30.9</v>
      </c>
    </row>
    <row r="38" spans="1:7" ht="14.1" customHeight="1">
      <c r="A38" s="45" t="s">
        <v>286</v>
      </c>
      <c r="B38" s="840"/>
      <c r="C38" s="312"/>
      <c r="D38" s="312"/>
      <c r="E38" s="485"/>
      <c r="F38" s="485"/>
      <c r="G38" s="485"/>
    </row>
    <row r="39" spans="1:7" ht="14.1" customHeight="1">
      <c r="A39" s="484" t="s">
        <v>942</v>
      </c>
      <c r="B39" s="190" t="s">
        <v>967</v>
      </c>
      <c r="C39" s="90" t="s">
        <v>1127</v>
      </c>
      <c r="D39" s="90" t="s">
        <v>579</v>
      </c>
      <c r="E39" s="90" t="s">
        <v>579</v>
      </c>
      <c r="F39" s="90" t="s">
        <v>1127</v>
      </c>
      <c r="G39" s="1123" t="s">
        <v>579</v>
      </c>
    </row>
    <row r="40" spans="1:7" ht="14.1" customHeight="1">
      <c r="A40" s="484" t="s">
        <v>943</v>
      </c>
      <c r="B40" s="190" t="s">
        <v>968</v>
      </c>
      <c r="C40" s="838" t="s">
        <v>1127</v>
      </c>
      <c r="D40" s="90" t="s">
        <v>579</v>
      </c>
      <c r="E40" s="64" t="s">
        <v>1127</v>
      </c>
      <c r="F40" s="64" t="s">
        <v>1127</v>
      </c>
      <c r="G40" s="43" t="s">
        <v>1127</v>
      </c>
    </row>
    <row r="41" spans="1:7" ht="14.1" customHeight="1">
      <c r="A41" s="484" t="s">
        <v>944</v>
      </c>
      <c r="B41" s="190" t="s">
        <v>1030</v>
      </c>
      <c r="C41" s="838">
        <v>0.1</v>
      </c>
      <c r="D41" s="839">
        <v>0.1</v>
      </c>
      <c r="E41" s="839">
        <v>0.1</v>
      </c>
      <c r="F41" s="839">
        <v>0.1</v>
      </c>
      <c r="G41" s="839">
        <v>0.1</v>
      </c>
    </row>
    <row r="42" spans="1:7" ht="12.75" customHeight="1">
      <c r="A42" s="406"/>
      <c r="B42" s="87" t="s">
        <v>1031</v>
      </c>
      <c r="C42" s="73">
        <f>SUM(C39:C41)</f>
        <v>0.1</v>
      </c>
      <c r="D42" s="73">
        <f>SUM(D39:D41)</f>
        <v>0.1</v>
      </c>
      <c r="E42" s="73">
        <f>SUM(E39:E41)</f>
        <v>0.1</v>
      </c>
      <c r="F42" s="73">
        <f>SUM(F39:F41)</f>
        <v>0.1</v>
      </c>
      <c r="G42" s="34">
        <f>SUM(G39:G41)</f>
        <v>0.1</v>
      </c>
    </row>
    <row r="43" spans="1:7" ht="14.1" customHeight="1">
      <c r="A43" s="45" t="s">
        <v>1114</v>
      </c>
      <c r="B43" s="190"/>
      <c r="C43" s="312"/>
      <c r="D43" s="312"/>
      <c r="E43" s="485"/>
      <c r="F43" s="485"/>
      <c r="G43" s="485"/>
    </row>
    <row r="44" spans="1:7" ht="14.1" customHeight="1">
      <c r="A44" s="484" t="s">
        <v>942</v>
      </c>
      <c r="B44" s="190" t="s">
        <v>603</v>
      </c>
      <c r="C44" s="90" t="s">
        <v>579</v>
      </c>
      <c r="D44" s="90" t="s">
        <v>579</v>
      </c>
      <c r="E44" s="90" t="s">
        <v>579</v>
      </c>
      <c r="F44" s="90" t="s">
        <v>579</v>
      </c>
      <c r="G44" s="49" t="s">
        <v>579</v>
      </c>
    </row>
    <row r="45" spans="1:7" ht="14.1" customHeight="1">
      <c r="A45" s="484" t="s">
        <v>943</v>
      </c>
      <c r="B45" s="190" t="s">
        <v>1021</v>
      </c>
      <c r="C45" s="838">
        <v>32.799999999999997</v>
      </c>
      <c r="D45" s="839">
        <v>30.3</v>
      </c>
      <c r="E45" s="839">
        <v>29.5</v>
      </c>
      <c r="F45" s="839">
        <v>26.3</v>
      </c>
      <c r="G45" s="839">
        <v>29.7</v>
      </c>
    </row>
    <row r="46" spans="1:7" ht="14.1" customHeight="1">
      <c r="A46" s="484" t="s">
        <v>944</v>
      </c>
      <c r="B46" s="190" t="s">
        <v>1022</v>
      </c>
      <c r="C46" s="90" t="s">
        <v>579</v>
      </c>
      <c r="D46" s="90" t="s">
        <v>579</v>
      </c>
      <c r="E46" s="64" t="s">
        <v>1127</v>
      </c>
      <c r="F46" s="64" t="s">
        <v>1127</v>
      </c>
      <c r="G46" s="43" t="s">
        <v>1127</v>
      </c>
    </row>
    <row r="47" spans="1:7" ht="14.1" customHeight="1">
      <c r="A47" s="484" t="s">
        <v>945</v>
      </c>
      <c r="B47" s="190" t="s">
        <v>1023</v>
      </c>
      <c r="C47" s="838" t="s">
        <v>1127</v>
      </c>
      <c r="D47" s="839" t="s">
        <v>1127</v>
      </c>
      <c r="E47" s="881" t="s">
        <v>1127</v>
      </c>
      <c r="F47" s="881" t="s">
        <v>1127</v>
      </c>
      <c r="G47" s="881" t="s">
        <v>1127</v>
      </c>
    </row>
    <row r="48" spans="1:7" ht="14.1" customHeight="1">
      <c r="A48" s="484" t="s">
        <v>946</v>
      </c>
      <c r="B48" s="190" t="s">
        <v>1024</v>
      </c>
      <c r="C48" s="838">
        <v>1.5</v>
      </c>
      <c r="D48" s="839">
        <v>1.5</v>
      </c>
      <c r="E48" s="839">
        <v>1.5</v>
      </c>
      <c r="F48" s="839">
        <v>1.6</v>
      </c>
      <c r="G48" s="839">
        <v>1.6</v>
      </c>
    </row>
    <row r="49" spans="1:7" ht="14.1" customHeight="1">
      <c r="A49" s="484" t="s">
        <v>947</v>
      </c>
      <c r="B49" s="190" t="s">
        <v>1025</v>
      </c>
      <c r="C49" s="838">
        <v>0.3</v>
      </c>
      <c r="D49" s="839">
        <v>0.3</v>
      </c>
      <c r="E49" s="839">
        <v>0.3</v>
      </c>
      <c r="F49" s="839">
        <v>0.3</v>
      </c>
      <c r="G49" s="839">
        <v>0.3</v>
      </c>
    </row>
    <row r="50" spans="1:7" ht="26.25" customHeight="1">
      <c r="A50" s="885"/>
      <c r="B50" s="886" t="s">
        <v>1026</v>
      </c>
      <c r="C50" s="817">
        <f>SUM(C44:C49)</f>
        <v>34.599999999999994</v>
      </c>
      <c r="D50" s="817">
        <f>SUM(D44:D49)</f>
        <v>32.1</v>
      </c>
      <c r="E50" s="817">
        <f>SUM(E44:E49)</f>
        <v>31.3</v>
      </c>
      <c r="F50" s="476">
        <f>SUM(F44:F49)</f>
        <v>28.200000000000003</v>
      </c>
      <c r="G50" s="476">
        <f>SUM(G44:G49)</f>
        <v>31.6</v>
      </c>
    </row>
    <row r="51" spans="1:7" ht="12.4" customHeight="1">
      <c r="A51" s="738" t="s">
        <v>562</v>
      </c>
      <c r="B51" s="537"/>
      <c r="D51" s="703" t="s">
        <v>487</v>
      </c>
      <c r="E51" s="651" t="s">
        <v>1440</v>
      </c>
      <c r="F51" s="2"/>
      <c r="G51" s="2"/>
    </row>
    <row r="52" spans="1:7" ht="12.4" customHeight="1">
      <c r="D52" s="703" t="s">
        <v>488</v>
      </c>
      <c r="E52" s="737" t="s">
        <v>489</v>
      </c>
      <c r="F52" s="477"/>
      <c r="G52" s="15"/>
    </row>
    <row r="53" spans="1:7" ht="12.4" customHeight="1">
      <c r="D53" s="651"/>
      <c r="E53" s="651" t="s">
        <v>1441</v>
      </c>
    </row>
    <row r="54" spans="1:7" ht="12.4" customHeight="1">
      <c r="F54" s="15"/>
      <c r="G54" s="15"/>
    </row>
    <row r="55" spans="1:7" ht="12.4" customHeight="1">
      <c r="D55" s="2"/>
      <c r="E55" s="15"/>
      <c r="F55" s="15"/>
      <c r="G55" s="15"/>
    </row>
  </sheetData>
  <mergeCells count="15">
    <mergeCell ref="A1:G1"/>
    <mergeCell ref="A2:G2"/>
    <mergeCell ref="A6:B6"/>
    <mergeCell ref="A7:B7"/>
    <mergeCell ref="D3:G3"/>
    <mergeCell ref="A5:B5"/>
    <mergeCell ref="C3:C4"/>
    <mergeCell ref="A3:B4"/>
    <mergeCell ref="A8:B8"/>
    <mergeCell ref="A9:B9"/>
    <mergeCell ref="A17:B17"/>
    <mergeCell ref="A10:B10"/>
    <mergeCell ref="A14:G14"/>
    <mergeCell ref="A16:B16"/>
    <mergeCell ref="A13:G13"/>
  </mergeCells>
  <phoneticPr fontId="0" type="noConversion"/>
  <printOptions horizontalCentered="1"/>
  <pageMargins left="0.1" right="0.1" top="0.5" bottom="0.1" header="0.5" footer="0.1"/>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sheetPr codeName="Sheet50"/>
  <dimension ref="A1:G42"/>
  <sheetViews>
    <sheetView topLeftCell="A22" workbookViewId="0">
      <selection activeCell="M30" sqref="M30"/>
    </sheetView>
  </sheetViews>
  <sheetFormatPr defaultRowHeight="12.75"/>
  <cols>
    <col min="1" max="1" width="4" style="172" customWidth="1"/>
    <col min="2" max="2" width="20.7109375" style="172" customWidth="1"/>
    <col min="3" max="7" width="13.42578125" style="172" customWidth="1"/>
    <col min="8" max="16384" width="9.140625" style="172"/>
  </cols>
  <sheetData>
    <row r="1" spans="1:7" ht="13.5" customHeight="1">
      <c r="A1" s="1229" t="s">
        <v>817</v>
      </c>
      <c r="B1" s="1229"/>
      <c r="C1" s="1229"/>
      <c r="D1" s="1229"/>
      <c r="E1" s="1229"/>
      <c r="F1" s="1229"/>
      <c r="G1" s="1229"/>
    </row>
    <row r="2" spans="1:7" ht="18" customHeight="1">
      <c r="A2" s="1231" t="str">
        <f>CONCATENATE("Production of Principal Crops in the district of ",District!A1)</f>
        <v>Production of Principal Crops in the district of Bankura</v>
      </c>
      <c r="B2" s="1231"/>
      <c r="C2" s="1231"/>
      <c r="D2" s="1231"/>
      <c r="E2" s="1231"/>
      <c r="F2" s="1231"/>
      <c r="G2" s="1231"/>
    </row>
    <row r="3" spans="1:7">
      <c r="A3" s="266"/>
      <c r="B3" s="266"/>
      <c r="C3" s="266"/>
      <c r="D3" s="266"/>
      <c r="E3" s="266"/>
      <c r="F3" s="266"/>
      <c r="G3" s="114" t="s">
        <v>1033</v>
      </c>
    </row>
    <row r="4" spans="1:7" ht="15" customHeight="1">
      <c r="A4" s="1193" t="s">
        <v>950</v>
      </c>
      <c r="B4" s="1192"/>
      <c r="C4" s="471" t="str">
        <f>District!B11</f>
        <v>2009-10</v>
      </c>
      <c r="D4" s="553" t="str">
        <f>District!C11</f>
        <v>2010-11</v>
      </c>
      <c r="E4" s="471" t="str">
        <f>District!D11</f>
        <v>2011-12</v>
      </c>
      <c r="F4" s="553" t="str">
        <f>District!E11</f>
        <v>2012-13</v>
      </c>
      <c r="G4" s="471" t="str">
        <f>District!F11</f>
        <v>2013-14</v>
      </c>
    </row>
    <row r="5" spans="1:7" ht="15" customHeight="1">
      <c r="A5" s="1201" t="s">
        <v>418</v>
      </c>
      <c r="B5" s="1192"/>
      <c r="C5" s="213" t="s">
        <v>419</v>
      </c>
      <c r="D5" s="213" t="s">
        <v>420</v>
      </c>
      <c r="E5" s="213" t="s">
        <v>421</v>
      </c>
      <c r="F5" s="213" t="s">
        <v>422</v>
      </c>
      <c r="G5" s="213" t="s">
        <v>423</v>
      </c>
    </row>
    <row r="6" spans="1:7" ht="16.5" customHeight="1">
      <c r="A6" s="45" t="s">
        <v>941</v>
      </c>
      <c r="B6" s="86"/>
      <c r="C6" s="341"/>
      <c r="D6" s="341"/>
      <c r="E6" s="341"/>
      <c r="F6" s="341"/>
      <c r="G6" s="478"/>
    </row>
    <row r="7" spans="1:7" ht="16.5" customHeight="1">
      <c r="A7" s="168" t="s">
        <v>942</v>
      </c>
      <c r="B7" s="86" t="s">
        <v>951</v>
      </c>
      <c r="C7" s="479">
        <f>SUM(C8:C10)</f>
        <v>1004.9</v>
      </c>
      <c r="D7" s="481">
        <f>SUM(D8:D10)</f>
        <v>507.5</v>
      </c>
      <c r="E7" s="481">
        <f>SUM(E8:E10)</f>
        <v>1119.5</v>
      </c>
      <c r="F7" s="481">
        <f>SUM(F8:F10)</f>
        <v>1033.6999999999998</v>
      </c>
      <c r="G7" s="481">
        <f>SUM(G8:G10)</f>
        <v>1045.3</v>
      </c>
    </row>
    <row r="8" spans="1:7" ht="16.5" customHeight="1">
      <c r="A8" s="444"/>
      <c r="B8" s="197" t="s">
        <v>952</v>
      </c>
      <c r="C8" s="485">
        <v>40.6</v>
      </c>
      <c r="D8" s="486">
        <v>29.8</v>
      </c>
      <c r="E8" s="486">
        <v>45.4</v>
      </c>
      <c r="F8" s="485">
        <v>55.9</v>
      </c>
      <c r="G8" s="485">
        <v>50.3</v>
      </c>
    </row>
    <row r="9" spans="1:7" ht="16.5" customHeight="1">
      <c r="A9" s="444"/>
      <c r="B9" s="197" t="s">
        <v>953</v>
      </c>
      <c r="C9" s="485">
        <v>844.9</v>
      </c>
      <c r="D9" s="486">
        <v>367.2</v>
      </c>
      <c r="E9" s="486">
        <v>969.7</v>
      </c>
      <c r="F9" s="485">
        <v>864.8</v>
      </c>
      <c r="G9" s="485">
        <v>874.5</v>
      </c>
    </row>
    <row r="10" spans="1:7" ht="16.5" customHeight="1">
      <c r="A10" s="444"/>
      <c r="B10" s="197" t="s">
        <v>954</v>
      </c>
      <c r="C10" s="485">
        <v>119.4</v>
      </c>
      <c r="D10" s="486">
        <v>110.5</v>
      </c>
      <c r="E10" s="486">
        <v>104.4</v>
      </c>
      <c r="F10" s="485">
        <v>113</v>
      </c>
      <c r="G10" s="485">
        <v>120.5</v>
      </c>
    </row>
    <row r="11" spans="1:7" ht="16.5" customHeight="1">
      <c r="A11" s="168" t="s">
        <v>943</v>
      </c>
      <c r="B11" s="197" t="s">
        <v>956</v>
      </c>
      <c r="C11" s="485">
        <v>9.9</v>
      </c>
      <c r="D11" s="486">
        <v>6.8</v>
      </c>
      <c r="E11" s="486">
        <v>6.5</v>
      </c>
      <c r="F11" s="485">
        <v>6.1</v>
      </c>
      <c r="G11" s="485">
        <v>7</v>
      </c>
    </row>
    <row r="12" spans="1:7" ht="16.5" customHeight="1">
      <c r="A12" s="168" t="s">
        <v>944</v>
      </c>
      <c r="B12" s="197" t="s">
        <v>957</v>
      </c>
      <c r="C12" s="485" t="s">
        <v>1127</v>
      </c>
      <c r="D12" s="486" t="s">
        <v>1127</v>
      </c>
      <c r="E12" s="486" t="s">
        <v>1127</v>
      </c>
      <c r="F12" s="485" t="s">
        <v>1127</v>
      </c>
      <c r="G12" s="485" t="s">
        <v>1127</v>
      </c>
    </row>
    <row r="13" spans="1:7" ht="16.5" customHeight="1">
      <c r="A13" s="168" t="s">
        <v>945</v>
      </c>
      <c r="B13" s="197" t="s">
        <v>958</v>
      </c>
      <c r="C13" s="485">
        <v>0.4</v>
      </c>
      <c r="D13" s="486">
        <v>0.7</v>
      </c>
      <c r="E13" s="486">
        <v>0.5</v>
      </c>
      <c r="F13" s="485">
        <v>1</v>
      </c>
      <c r="G13" s="485">
        <v>0.5</v>
      </c>
    </row>
    <row r="14" spans="1:7" ht="16.5" customHeight="1">
      <c r="A14" s="168" t="s">
        <v>946</v>
      </c>
      <c r="B14" s="197" t="s">
        <v>959</v>
      </c>
      <c r="C14" s="485">
        <v>0.4</v>
      </c>
      <c r="D14" s="486">
        <v>0.1</v>
      </c>
      <c r="E14" s="486">
        <v>0.1</v>
      </c>
      <c r="F14" s="485">
        <v>0.2</v>
      </c>
      <c r="G14" s="485">
        <v>0.1</v>
      </c>
    </row>
    <row r="15" spans="1:7" ht="16.5" customHeight="1">
      <c r="A15" s="406"/>
      <c r="B15" s="86" t="s">
        <v>960</v>
      </c>
      <c r="C15" s="481">
        <f>SUM((C11:C14),C7)</f>
        <v>1015.6</v>
      </c>
      <c r="D15" s="481">
        <f>SUM((D11:D14),D7)</f>
        <v>515.1</v>
      </c>
      <c r="E15" s="481">
        <f>SUM((E11:E14),E7)</f>
        <v>1126.5999999999999</v>
      </c>
      <c r="F15" s="481">
        <f>SUM((F11:F14),F7)</f>
        <v>1040.9999999999998</v>
      </c>
      <c r="G15" s="481">
        <f>SUM((G11:G14),G7)</f>
        <v>1052.8999999999999</v>
      </c>
    </row>
    <row r="16" spans="1:7" ht="16.5" customHeight="1">
      <c r="A16" s="168" t="s">
        <v>947</v>
      </c>
      <c r="B16" s="197" t="s">
        <v>450</v>
      </c>
      <c r="C16" s="280" t="s">
        <v>582</v>
      </c>
      <c r="D16" s="280" t="s">
        <v>582</v>
      </c>
      <c r="E16" s="280" t="s">
        <v>582</v>
      </c>
      <c r="F16" s="280" t="s">
        <v>582</v>
      </c>
      <c r="G16" s="280" t="s">
        <v>582</v>
      </c>
    </row>
    <row r="17" spans="1:7" ht="16.5" customHeight="1">
      <c r="A17" s="168" t="s">
        <v>948</v>
      </c>
      <c r="B17" s="197" t="s">
        <v>961</v>
      </c>
      <c r="C17" s="280" t="s">
        <v>1127</v>
      </c>
      <c r="D17" s="280" t="s">
        <v>1127</v>
      </c>
      <c r="E17" s="280" t="s">
        <v>1127</v>
      </c>
      <c r="F17" s="280" t="s">
        <v>1127</v>
      </c>
      <c r="G17" s="280" t="s">
        <v>1127</v>
      </c>
    </row>
    <row r="18" spans="1:7" ht="16.5" customHeight="1">
      <c r="A18" s="168" t="s">
        <v>949</v>
      </c>
      <c r="B18" s="197" t="s">
        <v>962</v>
      </c>
      <c r="C18" s="485">
        <v>0.2</v>
      </c>
      <c r="D18" s="486">
        <v>0.1</v>
      </c>
      <c r="E18" s="486">
        <v>0.2</v>
      </c>
      <c r="F18" s="485">
        <v>0.1</v>
      </c>
      <c r="G18" s="485">
        <v>0.2</v>
      </c>
    </row>
    <row r="19" spans="1:7" ht="16.5" customHeight="1">
      <c r="A19" s="406"/>
      <c r="B19" s="86" t="s">
        <v>963</v>
      </c>
      <c r="C19" s="479">
        <f>SUM(C16:C18)</f>
        <v>0.2</v>
      </c>
      <c r="D19" s="481">
        <f>SUM(D16:D18)</f>
        <v>0.1</v>
      </c>
      <c r="E19" s="481">
        <f>SUM(E16:E18)</f>
        <v>0.2</v>
      </c>
      <c r="F19" s="481">
        <f>SUM(F16:F18)</f>
        <v>0.1</v>
      </c>
      <c r="G19" s="481">
        <f>SUM(G16:G18)</f>
        <v>0.2</v>
      </c>
    </row>
    <row r="20" spans="1:7" ht="16.5" customHeight="1">
      <c r="A20" s="406"/>
      <c r="B20" s="86" t="s">
        <v>964</v>
      </c>
      <c r="C20" s="481">
        <f>SUM(C15,C19)</f>
        <v>1015.8000000000001</v>
      </c>
      <c r="D20" s="481">
        <f>SUM(D15,D19)</f>
        <v>515.20000000000005</v>
      </c>
      <c r="E20" s="481">
        <f>SUM(E15,E19)</f>
        <v>1126.8</v>
      </c>
      <c r="F20" s="481">
        <f>SUM(F15,F19)</f>
        <v>1041.0999999999997</v>
      </c>
      <c r="G20" s="481">
        <f>SUM(G15,G19)</f>
        <v>1053.0999999999999</v>
      </c>
    </row>
    <row r="21" spans="1:7" ht="16.5" customHeight="1">
      <c r="A21" s="45" t="s">
        <v>1108</v>
      </c>
      <c r="B21" s="482"/>
      <c r="C21" s="835"/>
      <c r="D21" s="836"/>
      <c r="E21" s="836"/>
      <c r="F21" s="835"/>
      <c r="G21" s="835"/>
    </row>
    <row r="22" spans="1:7" ht="16.5" customHeight="1">
      <c r="A22" s="168" t="s">
        <v>942</v>
      </c>
      <c r="B22" s="197" t="s">
        <v>1396</v>
      </c>
      <c r="C22" s="485">
        <v>11</v>
      </c>
      <c r="D22" s="486">
        <v>6.7</v>
      </c>
      <c r="E22" s="486">
        <v>8.1</v>
      </c>
      <c r="F22" s="485">
        <v>9</v>
      </c>
      <c r="G22" s="485">
        <v>8.6999999999999993</v>
      </c>
    </row>
    <row r="23" spans="1:7" ht="16.5" customHeight="1">
      <c r="A23" s="168" t="s">
        <v>943</v>
      </c>
      <c r="B23" s="197" t="s">
        <v>1503</v>
      </c>
      <c r="C23" s="280" t="s">
        <v>582</v>
      </c>
      <c r="D23" s="280" t="s">
        <v>582</v>
      </c>
      <c r="E23" s="280" t="s">
        <v>582</v>
      </c>
      <c r="F23" s="280" t="s">
        <v>582</v>
      </c>
      <c r="G23" s="280" t="s">
        <v>582</v>
      </c>
    </row>
    <row r="24" spans="1:7" ht="16.5" customHeight="1">
      <c r="A24" s="168" t="s">
        <v>944</v>
      </c>
      <c r="B24" s="197" t="s">
        <v>965</v>
      </c>
      <c r="C24" s="485">
        <v>14.1</v>
      </c>
      <c r="D24" s="486">
        <v>14.2</v>
      </c>
      <c r="E24" s="486">
        <v>17.899999999999999</v>
      </c>
      <c r="F24" s="485">
        <v>21.4</v>
      </c>
      <c r="G24" s="485">
        <v>16.399999999999999</v>
      </c>
    </row>
    <row r="25" spans="1:7" ht="16.5" customHeight="1">
      <c r="A25" s="406"/>
      <c r="B25" s="86" t="s">
        <v>966</v>
      </c>
      <c r="C25" s="479">
        <f>SUM(C22:C24)</f>
        <v>25.1</v>
      </c>
      <c r="D25" s="481">
        <f>SUM(D22:D24)</f>
        <v>20.9</v>
      </c>
      <c r="E25" s="481">
        <f>SUM(E22:E24)</f>
        <v>26</v>
      </c>
      <c r="F25" s="481">
        <f>SUM(F22:F24)</f>
        <v>30.4</v>
      </c>
      <c r="G25" s="481">
        <f>SUM(G22:G24)</f>
        <v>25.099999999999998</v>
      </c>
    </row>
    <row r="26" spans="1:7" ht="16.5" customHeight="1">
      <c r="A26" s="45" t="s">
        <v>1393</v>
      </c>
      <c r="B26" s="482"/>
      <c r="C26" s="835"/>
      <c r="D26" s="836"/>
      <c r="E26" s="836"/>
      <c r="F26" s="835"/>
      <c r="G26" s="835"/>
    </row>
    <row r="27" spans="1:7" ht="16.5" customHeight="1">
      <c r="A27" s="168" t="s">
        <v>942</v>
      </c>
      <c r="B27" s="197" t="s">
        <v>967</v>
      </c>
      <c r="C27" s="485" t="s">
        <v>1127</v>
      </c>
      <c r="D27" s="485">
        <v>0.1</v>
      </c>
      <c r="E27" s="486">
        <v>0.5</v>
      </c>
      <c r="F27" s="485" t="s">
        <v>1127</v>
      </c>
      <c r="G27" s="485">
        <v>0.1</v>
      </c>
    </row>
    <row r="28" spans="1:7" ht="16.5" customHeight="1">
      <c r="A28" s="168" t="s">
        <v>943</v>
      </c>
      <c r="B28" s="197" t="s">
        <v>968</v>
      </c>
      <c r="C28" s="485" t="s">
        <v>1127</v>
      </c>
      <c r="D28" s="280" t="s">
        <v>582</v>
      </c>
      <c r="E28" s="43" t="s">
        <v>1127</v>
      </c>
      <c r="F28" s="43" t="s">
        <v>1127</v>
      </c>
      <c r="G28" s="43" t="s">
        <v>1127</v>
      </c>
    </row>
    <row r="29" spans="1:7" ht="16.5" customHeight="1">
      <c r="A29" s="168" t="s">
        <v>944</v>
      </c>
      <c r="B29" s="197" t="s">
        <v>1030</v>
      </c>
      <c r="C29" s="485">
        <v>0.7</v>
      </c>
      <c r="D29" s="486">
        <v>0.6</v>
      </c>
      <c r="E29" s="486">
        <v>0.3</v>
      </c>
      <c r="F29" s="485">
        <v>0.6</v>
      </c>
      <c r="G29" s="485">
        <v>0.5</v>
      </c>
    </row>
    <row r="30" spans="1:7" ht="16.5" customHeight="1">
      <c r="A30" s="406"/>
      <c r="B30" s="86" t="s">
        <v>1031</v>
      </c>
      <c r="C30" s="479">
        <f>SUM(C27:C29)</f>
        <v>0.7</v>
      </c>
      <c r="D30" s="481">
        <f>SUM(D27:D29)</f>
        <v>0.7</v>
      </c>
      <c r="E30" s="481">
        <f>SUM(E27:E29)</f>
        <v>0.8</v>
      </c>
      <c r="F30" s="481">
        <f>SUM(F27:F29)</f>
        <v>0.6</v>
      </c>
      <c r="G30" s="481">
        <f>SUM(G27:G29)</f>
        <v>0.6</v>
      </c>
    </row>
    <row r="31" spans="1:7" ht="16.5" customHeight="1">
      <c r="A31" s="45" t="s">
        <v>1114</v>
      </c>
      <c r="B31" s="482"/>
      <c r="C31" s="835"/>
      <c r="D31" s="836"/>
      <c r="E31" s="836"/>
      <c r="F31" s="835"/>
      <c r="G31" s="835"/>
    </row>
    <row r="32" spans="1:7" ht="16.5" customHeight="1">
      <c r="A32" s="168" t="s">
        <v>942</v>
      </c>
      <c r="B32" s="197" t="s">
        <v>1020</v>
      </c>
      <c r="C32" s="485">
        <v>0.8</v>
      </c>
      <c r="D32" s="328" t="s">
        <v>582</v>
      </c>
      <c r="E32" s="328">
        <v>2.1</v>
      </c>
      <c r="F32" s="280">
        <v>0.1</v>
      </c>
      <c r="G32" s="280">
        <v>0.1</v>
      </c>
    </row>
    <row r="33" spans="1:7" ht="16.5" customHeight="1">
      <c r="A33" s="168" t="s">
        <v>943</v>
      </c>
      <c r="B33" s="197" t="s">
        <v>1021</v>
      </c>
      <c r="C33" s="485">
        <v>1350.1</v>
      </c>
      <c r="D33" s="486">
        <v>1190.4000000000001</v>
      </c>
      <c r="E33" s="486">
        <v>900.6</v>
      </c>
      <c r="F33" s="485">
        <v>691.9</v>
      </c>
      <c r="G33" s="485">
        <v>479</v>
      </c>
    </row>
    <row r="34" spans="1:7" ht="16.5" customHeight="1">
      <c r="A34" s="168" t="s">
        <v>944</v>
      </c>
      <c r="B34" s="197" t="s">
        <v>1022</v>
      </c>
      <c r="C34" s="280" t="s">
        <v>582</v>
      </c>
      <c r="D34" s="280" t="s">
        <v>582</v>
      </c>
      <c r="E34" s="43" t="s">
        <v>1127</v>
      </c>
      <c r="F34" s="43" t="s">
        <v>1127</v>
      </c>
      <c r="G34" s="43" t="s">
        <v>1127</v>
      </c>
    </row>
    <row r="35" spans="1:7" ht="16.5" customHeight="1">
      <c r="A35" s="168" t="s">
        <v>945</v>
      </c>
      <c r="B35" s="197" t="s">
        <v>1023</v>
      </c>
      <c r="C35" s="485" t="s">
        <v>1127</v>
      </c>
      <c r="D35" s="486" t="s">
        <v>1127</v>
      </c>
      <c r="E35" s="481" t="s">
        <v>1127</v>
      </c>
      <c r="F35" s="479" t="s">
        <v>1127</v>
      </c>
      <c r="G35" s="479" t="s">
        <v>1127</v>
      </c>
    </row>
    <row r="36" spans="1:7" ht="16.5" customHeight="1">
      <c r="A36" s="168" t="s">
        <v>946</v>
      </c>
      <c r="B36" s="197" t="s">
        <v>1024</v>
      </c>
      <c r="C36" s="485">
        <v>1.7</v>
      </c>
      <c r="D36" s="486">
        <v>1.7</v>
      </c>
      <c r="E36" s="486">
        <v>1.6</v>
      </c>
      <c r="F36" s="485">
        <v>1.8</v>
      </c>
      <c r="G36" s="485">
        <v>1.8</v>
      </c>
    </row>
    <row r="37" spans="1:7" ht="16.5" customHeight="1">
      <c r="A37" s="168" t="s">
        <v>947</v>
      </c>
      <c r="B37" s="197" t="s">
        <v>1025</v>
      </c>
      <c r="C37" s="485">
        <v>0.4</v>
      </c>
      <c r="D37" s="486">
        <v>0.4</v>
      </c>
      <c r="E37" s="486">
        <v>0.4</v>
      </c>
      <c r="F37" s="485">
        <v>0.4</v>
      </c>
      <c r="G37" s="485">
        <v>0.4</v>
      </c>
    </row>
    <row r="38" spans="1:7" ht="26.25" customHeight="1">
      <c r="A38" s="885"/>
      <c r="B38" s="886" t="s">
        <v>1026</v>
      </c>
      <c r="C38" s="476">
        <f>SUM(C32:C37)</f>
        <v>1353</v>
      </c>
      <c r="D38" s="483">
        <f>SUM(D32:D37)</f>
        <v>1192.5000000000002</v>
      </c>
      <c r="E38" s="483">
        <f>SUM(E32:E37)</f>
        <v>904.7</v>
      </c>
      <c r="F38" s="483">
        <f>SUM(F32:F37)</f>
        <v>694.19999999999993</v>
      </c>
      <c r="G38" s="483">
        <f>SUM(G32:G37)</f>
        <v>481.3</v>
      </c>
    </row>
    <row r="39" spans="1:7">
      <c r="A39" s="99" t="s">
        <v>1014</v>
      </c>
      <c r="B39" s="99"/>
      <c r="C39" s="516"/>
      <c r="D39" s="718" t="s">
        <v>487</v>
      </c>
      <c r="E39" s="516" t="s">
        <v>1440</v>
      </c>
      <c r="F39" s="516"/>
      <c r="G39" s="516"/>
    </row>
    <row r="40" spans="1:7">
      <c r="A40" s="739" t="s">
        <v>561</v>
      </c>
      <c r="B40" s="516"/>
      <c r="C40" s="516"/>
      <c r="D40" s="718" t="s">
        <v>488</v>
      </c>
      <c r="E40" s="737" t="s">
        <v>489</v>
      </c>
      <c r="F40" s="651"/>
      <c r="G40" s="516"/>
    </row>
    <row r="41" spans="1:7">
      <c r="B41" s="516"/>
      <c r="C41" s="516"/>
      <c r="D41" s="516"/>
      <c r="E41" s="651" t="s">
        <v>759</v>
      </c>
      <c r="F41" s="651"/>
      <c r="G41" s="516"/>
    </row>
    <row r="42" spans="1:7">
      <c r="A42" s="651"/>
      <c r="B42" s="651"/>
      <c r="C42" s="516"/>
      <c r="D42" s="516"/>
      <c r="E42" s="516"/>
      <c r="F42" s="516"/>
      <c r="G42" s="516"/>
    </row>
  </sheetData>
  <mergeCells count="4">
    <mergeCell ref="A1:G1"/>
    <mergeCell ref="A2:G2"/>
    <mergeCell ref="A4:B4"/>
    <mergeCell ref="A5:B5"/>
  </mergeCells>
  <phoneticPr fontId="0" type="noConversion"/>
  <printOptions horizontalCentered="1"/>
  <pageMargins left="0.15" right="0.1" top="0.96" bottom="0.1" header="0.7" footer="0.1"/>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sheetPr codeName="Sheet51"/>
  <dimension ref="A1:G42"/>
  <sheetViews>
    <sheetView topLeftCell="A13" workbookViewId="0">
      <selection activeCell="M30" sqref="M30"/>
    </sheetView>
  </sheetViews>
  <sheetFormatPr defaultRowHeight="12.75"/>
  <cols>
    <col min="1" max="1" width="3.42578125" style="172" customWidth="1"/>
    <col min="2" max="2" width="19.28515625" style="172" customWidth="1"/>
    <col min="3" max="3" width="13.5703125" style="172" customWidth="1"/>
    <col min="4" max="4" width="13.7109375" style="172" customWidth="1"/>
    <col min="5" max="5" width="12.7109375" style="172" customWidth="1"/>
    <col min="6" max="6" width="14.140625" style="172" customWidth="1"/>
    <col min="7" max="7" width="13.85546875" style="172" customWidth="1"/>
    <col min="8" max="16384" width="9.140625" style="172"/>
  </cols>
  <sheetData>
    <row r="1" spans="1:7" ht="13.5" customHeight="1">
      <c r="A1" s="1229" t="s">
        <v>818</v>
      </c>
      <c r="B1" s="1229"/>
      <c r="C1" s="1229"/>
      <c r="D1" s="1229"/>
      <c r="E1" s="1229"/>
      <c r="F1" s="1229"/>
      <c r="G1" s="1229"/>
    </row>
    <row r="2" spans="1:7" ht="18" customHeight="1">
      <c r="A2" s="1231" t="str">
        <f>CONCATENATE("Yield rates of Principal Crops in the district of ",District!A1)</f>
        <v>Yield rates of Principal Crops in the district of Bankura</v>
      </c>
      <c r="B2" s="1231"/>
      <c r="C2" s="1231"/>
      <c r="D2" s="1231"/>
      <c r="E2" s="1231"/>
      <c r="F2" s="1231"/>
      <c r="G2" s="1231"/>
    </row>
    <row r="3" spans="1:7" ht="15" customHeight="1">
      <c r="A3" s="266"/>
      <c r="B3" s="266"/>
      <c r="C3" s="266"/>
      <c r="D3" s="266"/>
      <c r="E3" s="266"/>
      <c r="F3" s="266"/>
      <c r="G3" s="114" t="s">
        <v>1034</v>
      </c>
    </row>
    <row r="4" spans="1:7" ht="15" customHeight="1">
      <c r="A4" s="1193" t="s">
        <v>950</v>
      </c>
      <c r="B4" s="1192"/>
      <c r="C4" s="471" t="str">
        <f>District!B11</f>
        <v>2009-10</v>
      </c>
      <c r="D4" s="471" t="str">
        <f>District!C11</f>
        <v>2010-11</v>
      </c>
      <c r="E4" s="471" t="str">
        <f>District!D11</f>
        <v>2011-12</v>
      </c>
      <c r="F4" s="471" t="str">
        <f>District!E11</f>
        <v>2012-13</v>
      </c>
      <c r="G4" s="471" t="str">
        <f>District!F11</f>
        <v>2013-14</v>
      </c>
    </row>
    <row r="5" spans="1:7" ht="15" customHeight="1">
      <c r="A5" s="1201" t="s">
        <v>418</v>
      </c>
      <c r="B5" s="1192"/>
      <c r="C5" s="213" t="s">
        <v>419</v>
      </c>
      <c r="D5" s="213" t="s">
        <v>420</v>
      </c>
      <c r="E5" s="213" t="s">
        <v>421</v>
      </c>
      <c r="F5" s="213" t="s">
        <v>422</v>
      </c>
      <c r="G5" s="213" t="s">
        <v>423</v>
      </c>
    </row>
    <row r="6" spans="1:7" ht="18" customHeight="1">
      <c r="A6" s="45" t="s">
        <v>941</v>
      </c>
      <c r="B6" s="86"/>
      <c r="C6" s="341"/>
      <c r="D6" s="341"/>
      <c r="E6" s="341"/>
      <c r="F6" s="341"/>
      <c r="G6" s="478"/>
    </row>
    <row r="7" spans="1:7" ht="18" customHeight="1">
      <c r="A7" s="168" t="s">
        <v>942</v>
      </c>
      <c r="B7" s="86" t="s">
        <v>951</v>
      </c>
      <c r="C7" s="28">
        <v>2663</v>
      </c>
      <c r="D7" s="28">
        <v>2563</v>
      </c>
      <c r="E7" s="34">
        <v>2970</v>
      </c>
      <c r="F7" s="34">
        <v>2747</v>
      </c>
      <c r="G7" s="34">
        <v>2768</v>
      </c>
    </row>
    <row r="8" spans="1:7" ht="18" customHeight="1">
      <c r="A8" s="444"/>
      <c r="B8" s="197" t="s">
        <v>952</v>
      </c>
      <c r="C8" s="184">
        <v>3017</v>
      </c>
      <c r="D8" s="184">
        <v>2296</v>
      </c>
      <c r="E8" s="183">
        <v>2747</v>
      </c>
      <c r="F8" s="183">
        <v>2943</v>
      </c>
      <c r="G8" s="183">
        <v>2552</v>
      </c>
    </row>
    <row r="9" spans="1:7" ht="18" customHeight="1">
      <c r="A9" s="444"/>
      <c r="B9" s="197" t="s">
        <v>953</v>
      </c>
      <c r="C9" s="184">
        <v>2655</v>
      </c>
      <c r="D9" s="184">
        <v>2482</v>
      </c>
      <c r="E9" s="183">
        <v>3050</v>
      </c>
      <c r="F9" s="183">
        <v>2682</v>
      </c>
      <c r="G9" s="183">
        <v>2751</v>
      </c>
    </row>
    <row r="10" spans="1:7" ht="18" customHeight="1">
      <c r="A10" s="444"/>
      <c r="B10" s="197" t="s">
        <v>954</v>
      </c>
      <c r="C10" s="184">
        <v>2617</v>
      </c>
      <c r="D10" s="184">
        <v>2981</v>
      </c>
      <c r="E10" s="183">
        <v>2457</v>
      </c>
      <c r="F10" s="183">
        <v>3245</v>
      </c>
      <c r="G10" s="183">
        <v>3013</v>
      </c>
    </row>
    <row r="11" spans="1:7" ht="18" customHeight="1">
      <c r="A11" s="168" t="s">
        <v>943</v>
      </c>
      <c r="B11" s="197" t="s">
        <v>956</v>
      </c>
      <c r="C11" s="184">
        <v>2390</v>
      </c>
      <c r="D11" s="184">
        <v>2270</v>
      </c>
      <c r="E11" s="183">
        <v>2373</v>
      </c>
      <c r="F11" s="183">
        <v>2272</v>
      </c>
      <c r="G11" s="183">
        <v>2010</v>
      </c>
    </row>
    <row r="12" spans="1:7" ht="18" customHeight="1">
      <c r="A12" s="168" t="s">
        <v>944</v>
      </c>
      <c r="B12" s="197" t="s">
        <v>957</v>
      </c>
      <c r="C12" s="184" t="s">
        <v>1127</v>
      </c>
      <c r="D12" s="184" t="s">
        <v>1127</v>
      </c>
      <c r="E12" s="371" t="s">
        <v>1127</v>
      </c>
      <c r="F12" s="183" t="s">
        <v>1127</v>
      </c>
      <c r="G12" s="183" t="s">
        <v>1127</v>
      </c>
    </row>
    <row r="13" spans="1:7" ht="18" customHeight="1">
      <c r="A13" s="168" t="s">
        <v>945</v>
      </c>
      <c r="B13" s="197" t="s">
        <v>958</v>
      </c>
      <c r="C13" s="184">
        <v>2256</v>
      </c>
      <c r="D13" s="184">
        <v>2139</v>
      </c>
      <c r="E13" s="183">
        <v>2143</v>
      </c>
      <c r="F13" s="183">
        <v>3238</v>
      </c>
      <c r="G13" s="183">
        <v>2394</v>
      </c>
    </row>
    <row r="14" spans="1:7" ht="18" customHeight="1">
      <c r="A14" s="168" t="s">
        <v>946</v>
      </c>
      <c r="B14" s="197" t="s">
        <v>959</v>
      </c>
      <c r="C14" s="184">
        <v>1199</v>
      </c>
      <c r="D14" s="184">
        <v>721</v>
      </c>
      <c r="E14" s="183">
        <v>500</v>
      </c>
      <c r="F14" s="183">
        <v>667</v>
      </c>
      <c r="G14" s="183">
        <v>1000</v>
      </c>
    </row>
    <row r="15" spans="1:7" ht="18" customHeight="1">
      <c r="A15" s="406"/>
      <c r="B15" s="86" t="s">
        <v>960</v>
      </c>
      <c r="C15" s="28">
        <v>2659</v>
      </c>
      <c r="D15" s="28">
        <v>2557</v>
      </c>
      <c r="E15" s="34">
        <v>2964</v>
      </c>
      <c r="F15" s="34">
        <v>2743</v>
      </c>
      <c r="G15" s="34">
        <v>2761</v>
      </c>
    </row>
    <row r="16" spans="1:7" ht="18" customHeight="1">
      <c r="A16" s="168" t="s">
        <v>947</v>
      </c>
      <c r="B16" s="197" t="s">
        <v>450</v>
      </c>
      <c r="C16" s="184">
        <v>693</v>
      </c>
      <c r="D16" s="184">
        <v>499</v>
      </c>
      <c r="E16" s="183">
        <v>685</v>
      </c>
      <c r="F16" s="183">
        <v>1462</v>
      </c>
      <c r="G16" s="183">
        <v>769</v>
      </c>
    </row>
    <row r="17" spans="1:7" ht="18" customHeight="1">
      <c r="A17" s="168" t="s">
        <v>948</v>
      </c>
      <c r="B17" s="197" t="s">
        <v>961</v>
      </c>
      <c r="C17" s="184" t="s">
        <v>1127</v>
      </c>
      <c r="D17" s="184" t="s">
        <v>1127</v>
      </c>
      <c r="E17" s="371" t="s">
        <v>1127</v>
      </c>
      <c r="F17" s="183" t="s">
        <v>1127</v>
      </c>
      <c r="G17" s="183" t="s">
        <v>1127</v>
      </c>
    </row>
    <row r="18" spans="1:7" ht="18" customHeight="1">
      <c r="A18" s="168" t="s">
        <v>949</v>
      </c>
      <c r="B18" s="197" t="s">
        <v>962</v>
      </c>
      <c r="C18" s="184">
        <v>813</v>
      </c>
      <c r="D18" s="184">
        <v>797</v>
      </c>
      <c r="E18" s="183">
        <v>682</v>
      </c>
      <c r="F18" s="183">
        <v>701</v>
      </c>
      <c r="G18" s="183">
        <v>667</v>
      </c>
    </row>
    <row r="19" spans="1:7" ht="18" customHeight="1">
      <c r="A19" s="406"/>
      <c r="B19" s="86" t="s">
        <v>963</v>
      </c>
      <c r="C19" s="28">
        <v>861</v>
      </c>
      <c r="D19" s="28">
        <v>780</v>
      </c>
      <c r="E19" s="34">
        <v>684</v>
      </c>
      <c r="F19" s="34">
        <v>701</v>
      </c>
      <c r="G19" s="34">
        <v>748</v>
      </c>
    </row>
    <row r="20" spans="1:7" ht="18" customHeight="1">
      <c r="A20" s="406"/>
      <c r="B20" s="86" t="s">
        <v>964</v>
      </c>
      <c r="C20" s="28">
        <v>2658</v>
      </c>
      <c r="D20" s="28">
        <v>2555</v>
      </c>
      <c r="E20" s="34">
        <v>2963</v>
      </c>
      <c r="F20" s="34">
        <v>2743</v>
      </c>
      <c r="G20" s="34">
        <v>2759</v>
      </c>
    </row>
    <row r="21" spans="1:7" ht="18" customHeight="1">
      <c r="A21" s="45" t="s">
        <v>1108</v>
      </c>
      <c r="B21" s="482"/>
      <c r="C21" s="184"/>
      <c r="D21" s="184"/>
      <c r="E21" s="183"/>
      <c r="F21" s="183"/>
      <c r="G21" s="183"/>
    </row>
    <row r="22" spans="1:7" ht="18" customHeight="1">
      <c r="A22" s="484" t="s">
        <v>942</v>
      </c>
      <c r="B22" s="197" t="s">
        <v>1396</v>
      </c>
      <c r="C22" s="184">
        <v>762</v>
      </c>
      <c r="D22" s="184">
        <v>817</v>
      </c>
      <c r="E22" s="183">
        <v>798</v>
      </c>
      <c r="F22" s="183">
        <v>806</v>
      </c>
      <c r="G22" s="183">
        <v>776</v>
      </c>
    </row>
    <row r="23" spans="1:7" ht="18" customHeight="1">
      <c r="A23" s="484" t="s">
        <v>943</v>
      </c>
      <c r="B23" s="197" t="s">
        <v>1503</v>
      </c>
      <c r="C23" s="184">
        <v>59</v>
      </c>
      <c r="D23" s="184">
        <v>326</v>
      </c>
      <c r="E23" s="183">
        <v>208</v>
      </c>
      <c r="F23" s="183">
        <v>225</v>
      </c>
      <c r="G23" s="183">
        <v>297</v>
      </c>
    </row>
    <row r="24" spans="1:7" ht="18" customHeight="1">
      <c r="A24" s="484" t="s">
        <v>944</v>
      </c>
      <c r="B24" s="197" t="s">
        <v>965</v>
      </c>
      <c r="C24" s="184">
        <v>619</v>
      </c>
      <c r="D24" s="184">
        <v>767</v>
      </c>
      <c r="E24" s="183">
        <v>869</v>
      </c>
      <c r="F24" s="183">
        <v>1019</v>
      </c>
      <c r="G24" s="183">
        <v>841</v>
      </c>
    </row>
    <row r="25" spans="1:7" ht="18" customHeight="1">
      <c r="A25" s="406"/>
      <c r="B25" s="86" t="s">
        <v>966</v>
      </c>
      <c r="C25" s="28">
        <v>674</v>
      </c>
      <c r="D25" s="28">
        <v>782</v>
      </c>
      <c r="E25" s="34">
        <v>845</v>
      </c>
      <c r="F25" s="34">
        <v>950</v>
      </c>
      <c r="G25" s="34">
        <v>811</v>
      </c>
    </row>
    <row r="26" spans="1:7" ht="18" customHeight="1">
      <c r="A26" s="45" t="s">
        <v>1395</v>
      </c>
      <c r="B26" s="482"/>
      <c r="C26" s="184"/>
      <c r="D26" s="184"/>
      <c r="E26" s="183"/>
      <c r="F26" s="183"/>
      <c r="G26" s="183"/>
    </row>
    <row r="27" spans="1:7" ht="18" customHeight="1">
      <c r="A27" s="484" t="s">
        <v>942</v>
      </c>
      <c r="B27" s="197" t="s">
        <v>967</v>
      </c>
      <c r="C27" s="184" t="s">
        <v>1127</v>
      </c>
      <c r="D27" s="184">
        <v>19.5</v>
      </c>
      <c r="E27" s="183">
        <v>18.7</v>
      </c>
      <c r="F27" s="183" t="s">
        <v>1127</v>
      </c>
      <c r="G27" s="183">
        <v>19.5</v>
      </c>
    </row>
    <row r="28" spans="1:7" ht="18" customHeight="1">
      <c r="A28" s="484" t="s">
        <v>943</v>
      </c>
      <c r="B28" s="197" t="s">
        <v>968</v>
      </c>
      <c r="C28" s="486" t="s">
        <v>1127</v>
      </c>
      <c r="D28" s="486">
        <v>0.3</v>
      </c>
      <c r="E28" s="854" t="s">
        <v>1127</v>
      </c>
      <c r="F28" s="485" t="s">
        <v>1127</v>
      </c>
      <c r="G28" s="485" t="s">
        <v>1127</v>
      </c>
    </row>
    <row r="29" spans="1:7" ht="18" customHeight="1">
      <c r="A29" s="484" t="s">
        <v>944</v>
      </c>
      <c r="B29" s="197" t="s">
        <v>1030</v>
      </c>
      <c r="C29" s="184">
        <v>5.2</v>
      </c>
      <c r="D29" s="184">
        <v>4.2</v>
      </c>
      <c r="E29" s="485">
        <v>3</v>
      </c>
      <c r="F29" s="485">
        <v>4.3600000000000003</v>
      </c>
      <c r="G29" s="485">
        <v>3.8</v>
      </c>
    </row>
    <row r="30" spans="1:7" ht="18" customHeight="1">
      <c r="A30" s="406"/>
      <c r="B30" s="86" t="s">
        <v>1031</v>
      </c>
      <c r="C30" s="481">
        <v>5.2</v>
      </c>
      <c r="D30" s="481">
        <v>3.7</v>
      </c>
      <c r="E30" s="479">
        <v>8</v>
      </c>
      <c r="F30" s="479">
        <v>4.3600000000000003</v>
      </c>
      <c r="G30" s="479">
        <v>4.3</v>
      </c>
    </row>
    <row r="31" spans="1:7" ht="18" customHeight="1">
      <c r="A31" s="45" t="s">
        <v>1114</v>
      </c>
      <c r="B31" s="482"/>
      <c r="C31" s="184"/>
      <c r="D31" s="184"/>
      <c r="E31" s="183"/>
      <c r="F31" s="183"/>
      <c r="G31" s="183"/>
    </row>
    <row r="32" spans="1:7" ht="18" customHeight="1">
      <c r="A32" s="484" t="s">
        <v>942</v>
      </c>
      <c r="B32" s="197" t="s">
        <v>1020</v>
      </c>
      <c r="C32" s="184">
        <v>83100</v>
      </c>
      <c r="D32" s="184">
        <v>38089</v>
      </c>
      <c r="E32" s="183">
        <v>176183</v>
      </c>
      <c r="F32" s="183">
        <v>140524</v>
      </c>
      <c r="G32" s="183">
        <v>125188</v>
      </c>
    </row>
    <row r="33" spans="1:7" ht="18" customHeight="1">
      <c r="A33" s="484" t="s">
        <v>943</v>
      </c>
      <c r="B33" s="197" t="s">
        <v>1021</v>
      </c>
      <c r="C33" s="184">
        <v>41145</v>
      </c>
      <c r="D33" s="184">
        <v>39295</v>
      </c>
      <c r="E33" s="183">
        <v>30531</v>
      </c>
      <c r="F33" s="183">
        <v>26328</v>
      </c>
      <c r="G33" s="183">
        <v>16115</v>
      </c>
    </row>
    <row r="34" spans="1:7" ht="18" customHeight="1">
      <c r="A34" s="484" t="s">
        <v>944</v>
      </c>
      <c r="B34" s="197" t="s">
        <v>1022</v>
      </c>
      <c r="C34" s="184">
        <v>800</v>
      </c>
      <c r="D34" s="184">
        <v>667</v>
      </c>
      <c r="E34" s="371" t="s">
        <v>1127</v>
      </c>
      <c r="F34" s="183" t="s">
        <v>1127</v>
      </c>
      <c r="G34" s="183"/>
    </row>
    <row r="35" spans="1:7" ht="18" customHeight="1">
      <c r="A35" s="484" t="s">
        <v>945</v>
      </c>
      <c r="B35" s="197" t="s">
        <v>1023</v>
      </c>
      <c r="C35" s="184" t="s">
        <v>1127</v>
      </c>
      <c r="D35" s="184" t="s">
        <v>1127</v>
      </c>
      <c r="E35" s="371" t="s">
        <v>1127</v>
      </c>
      <c r="F35" s="183" t="s">
        <v>1127</v>
      </c>
      <c r="G35" s="183"/>
    </row>
    <row r="36" spans="1:7" ht="18" customHeight="1">
      <c r="A36" s="484" t="s">
        <v>946</v>
      </c>
      <c r="B36" s="197" t="s">
        <v>1024</v>
      </c>
      <c r="C36" s="184">
        <v>1098</v>
      </c>
      <c r="D36" s="184">
        <v>1101</v>
      </c>
      <c r="E36" s="183">
        <v>1066</v>
      </c>
      <c r="F36" s="183">
        <v>1104</v>
      </c>
      <c r="G36" s="183">
        <v>1109</v>
      </c>
    </row>
    <row r="37" spans="1:7" ht="18" customHeight="1">
      <c r="A37" s="484" t="s">
        <v>947</v>
      </c>
      <c r="B37" s="197" t="s">
        <v>1025</v>
      </c>
      <c r="C37" s="184">
        <v>1572</v>
      </c>
      <c r="D37" s="184">
        <v>1572</v>
      </c>
      <c r="E37" s="183">
        <v>1566</v>
      </c>
      <c r="F37" s="183">
        <v>1587</v>
      </c>
      <c r="G37" s="183">
        <v>1583</v>
      </c>
    </row>
    <row r="38" spans="1:7" ht="25.5" customHeight="1">
      <c r="A38" s="487"/>
      <c r="B38" s="488" t="s">
        <v>1026</v>
      </c>
      <c r="C38" s="157">
        <v>42279</v>
      </c>
      <c r="D38" s="157">
        <v>37150</v>
      </c>
      <c r="E38" s="35">
        <v>28904</v>
      </c>
      <c r="F38" s="35">
        <v>24617</v>
      </c>
      <c r="G38" s="35">
        <v>15231</v>
      </c>
    </row>
    <row r="39" spans="1:7">
      <c r="A39" s="516" t="s">
        <v>1035</v>
      </c>
      <c r="B39" s="516"/>
      <c r="C39" s="516"/>
      <c r="D39" s="718" t="s">
        <v>487</v>
      </c>
      <c r="E39" s="516" t="s">
        <v>1440</v>
      </c>
      <c r="F39" s="516"/>
      <c r="G39" s="516"/>
    </row>
    <row r="40" spans="1:7">
      <c r="A40" s="516"/>
      <c r="B40" s="516"/>
      <c r="C40" s="516"/>
      <c r="D40" s="718" t="s">
        <v>488</v>
      </c>
      <c r="E40" s="720" t="s">
        <v>1442</v>
      </c>
      <c r="F40" s="720"/>
      <c r="G40" s="720"/>
    </row>
    <row r="41" spans="1:7">
      <c r="A41" s="516"/>
      <c r="B41" s="516"/>
      <c r="C41" s="516"/>
      <c r="D41" s="516"/>
      <c r="E41" s="719" t="s">
        <v>1441</v>
      </c>
      <c r="F41" s="651"/>
      <c r="G41" s="740"/>
    </row>
    <row r="42" spans="1:7">
      <c r="A42" s="651"/>
      <c r="B42" s="651"/>
      <c r="C42" s="651"/>
      <c r="D42" s="651"/>
      <c r="E42" s="651"/>
      <c r="F42" s="651"/>
      <c r="G42" s="651"/>
    </row>
  </sheetData>
  <mergeCells count="4">
    <mergeCell ref="A1:G1"/>
    <mergeCell ref="A2:G2"/>
    <mergeCell ref="A4:B4"/>
    <mergeCell ref="A5:B5"/>
  </mergeCells>
  <phoneticPr fontId="0" type="noConversion"/>
  <printOptions horizontalCentered="1"/>
  <pageMargins left="0.15" right="0.1" top="0.92" bottom="0.1" header="0.7" footer="0.1"/>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sheetPr codeName="Sheet52"/>
  <dimension ref="A1:AM191"/>
  <sheetViews>
    <sheetView workbookViewId="0">
      <selection activeCell="N10" sqref="N10"/>
    </sheetView>
  </sheetViews>
  <sheetFormatPr defaultRowHeight="12.75"/>
  <cols>
    <col min="1" max="1" width="13.85546875" style="172" customWidth="1"/>
    <col min="2" max="2" width="11.140625" style="172" customWidth="1"/>
    <col min="3" max="3" width="12" style="172" customWidth="1"/>
    <col min="4" max="4" width="11.140625" style="172" customWidth="1"/>
    <col min="5" max="5" width="12" style="172" customWidth="1"/>
    <col min="6" max="6" width="11.140625" style="172" customWidth="1"/>
    <col min="7" max="7" width="12" style="172" customWidth="1"/>
    <col min="8" max="8" width="11.140625" style="172" customWidth="1"/>
    <col min="9" max="9" width="12" style="172" customWidth="1"/>
    <col min="10" max="10" width="11.140625" style="172" customWidth="1"/>
    <col min="11" max="11" width="14.42578125" style="172" customWidth="1"/>
    <col min="12" max="16384" width="9.140625" style="172"/>
  </cols>
  <sheetData>
    <row r="1" spans="1:30" ht="13.5" customHeight="1">
      <c r="A1" s="1229" t="s">
        <v>819</v>
      </c>
      <c r="B1" s="1229"/>
      <c r="C1" s="1229"/>
      <c r="D1" s="1229"/>
      <c r="E1" s="1229"/>
      <c r="F1" s="1229"/>
      <c r="G1" s="1229"/>
      <c r="H1" s="1229"/>
      <c r="I1" s="1229"/>
      <c r="J1" s="1229"/>
      <c r="K1" s="1229"/>
    </row>
    <row r="2" spans="1:30" s="206" customFormat="1" ht="18" customHeight="1">
      <c r="A2" s="1231" t="str">
        <f>CONCATENATE("Yield rates of some Selected Crops in the district of ",District!A1," and West Bengal")</f>
        <v>Yield rates of some Selected Crops in the district of Bankura and West Bengal</v>
      </c>
      <c r="B2" s="1231"/>
      <c r="C2" s="1231"/>
      <c r="D2" s="1231"/>
      <c r="E2" s="1231"/>
      <c r="F2" s="1231"/>
      <c r="G2" s="1231"/>
      <c r="H2" s="1231"/>
      <c r="I2" s="1231"/>
      <c r="J2" s="1231"/>
      <c r="K2" s="1231"/>
    </row>
    <row r="3" spans="1:30" ht="15.95" customHeight="1">
      <c r="A3" s="259"/>
      <c r="B3" s="259"/>
      <c r="C3" s="259"/>
      <c r="D3" s="259"/>
      <c r="E3" s="259"/>
      <c r="F3" s="259"/>
      <c r="G3" s="259"/>
      <c r="H3" s="259"/>
      <c r="I3" s="259"/>
      <c r="J3" s="259"/>
      <c r="K3" s="84" t="s">
        <v>1034</v>
      </c>
    </row>
    <row r="4" spans="1:30" ht="15.95" customHeight="1">
      <c r="A4" s="1196" t="s">
        <v>950</v>
      </c>
      <c r="B4" s="1193" t="str">
        <f>District!B14</f>
        <v>2009-10</v>
      </c>
      <c r="C4" s="1192"/>
      <c r="D4" s="1193" t="str">
        <f>District!D14</f>
        <v>2010-11</v>
      </c>
      <c r="E4" s="1192"/>
      <c r="F4" s="1193" t="str">
        <f>District!F14</f>
        <v>2011-12</v>
      </c>
      <c r="G4" s="1192"/>
      <c r="H4" s="1193" t="str">
        <f>District!H14</f>
        <v>2012-13</v>
      </c>
      <c r="I4" s="1192"/>
      <c r="J4" s="1193" t="str">
        <f>District!J14</f>
        <v>2013-14</v>
      </c>
      <c r="K4" s="1192"/>
      <c r="N4" s="177"/>
      <c r="O4" s="177"/>
      <c r="P4" s="177"/>
      <c r="Q4" s="177"/>
      <c r="R4" s="177"/>
      <c r="S4" s="177"/>
      <c r="T4" s="177"/>
      <c r="U4" s="177"/>
      <c r="V4" s="177"/>
      <c r="W4" s="177"/>
      <c r="X4" s="177"/>
      <c r="Y4" s="177"/>
      <c r="Z4" s="177"/>
      <c r="AA4" s="177"/>
      <c r="AB4" s="177"/>
      <c r="AC4" s="177"/>
      <c r="AD4" s="177"/>
    </row>
    <row r="5" spans="1:30" ht="18.75" customHeight="1">
      <c r="A5" s="1197"/>
      <c r="B5" s="40" t="s">
        <v>1036</v>
      </c>
      <c r="C5" s="212" t="s">
        <v>1037</v>
      </c>
      <c r="D5" s="56" t="s">
        <v>1036</v>
      </c>
      <c r="E5" s="212" t="s">
        <v>1037</v>
      </c>
      <c r="F5" s="56" t="s">
        <v>1036</v>
      </c>
      <c r="G5" s="212" t="s">
        <v>1037</v>
      </c>
      <c r="H5" s="56" t="s">
        <v>1036</v>
      </c>
      <c r="I5" s="212" t="s">
        <v>1037</v>
      </c>
      <c r="J5" s="56" t="s">
        <v>1036</v>
      </c>
      <c r="K5" s="1161" t="s">
        <v>1037</v>
      </c>
      <c r="N5" s="177"/>
      <c r="O5" s="177"/>
      <c r="P5" s="177"/>
      <c r="Q5" s="177"/>
      <c r="R5" s="177"/>
      <c r="S5" s="177"/>
      <c r="T5" s="177"/>
      <c r="U5" s="177"/>
      <c r="V5" s="177"/>
      <c r="W5" s="177"/>
      <c r="X5" s="177"/>
      <c r="Y5" s="177"/>
      <c r="Z5" s="177"/>
      <c r="AA5" s="177"/>
      <c r="AB5" s="177"/>
      <c r="AC5" s="177"/>
      <c r="AD5" s="177"/>
    </row>
    <row r="6" spans="1:30" ht="15.95" customHeight="1">
      <c r="A6" s="181" t="s">
        <v>418</v>
      </c>
      <c r="B6" s="489" t="s">
        <v>419</v>
      </c>
      <c r="C6" s="181" t="s">
        <v>420</v>
      </c>
      <c r="D6" s="462" t="s">
        <v>421</v>
      </c>
      <c r="E6" s="181" t="s">
        <v>422</v>
      </c>
      <c r="F6" s="462" t="s">
        <v>423</v>
      </c>
      <c r="G6" s="213" t="s">
        <v>424</v>
      </c>
      <c r="H6" s="311" t="s">
        <v>440</v>
      </c>
      <c r="I6" s="215" t="s">
        <v>441</v>
      </c>
      <c r="J6" s="311" t="s">
        <v>442</v>
      </c>
      <c r="K6" s="215" t="s">
        <v>443</v>
      </c>
      <c r="N6" s="177"/>
      <c r="O6" s="177"/>
      <c r="P6" s="177"/>
      <c r="Q6" s="177"/>
      <c r="R6" s="177"/>
      <c r="S6" s="177"/>
      <c r="T6" s="177"/>
      <c r="U6" s="177"/>
      <c r="V6" s="177"/>
      <c r="W6" s="177"/>
      <c r="X6" s="177"/>
      <c r="Y6" s="177"/>
      <c r="Z6" s="177"/>
      <c r="AA6" s="177"/>
      <c r="AB6" s="177"/>
      <c r="AC6" s="177"/>
      <c r="AD6" s="177"/>
    </row>
    <row r="7" spans="1:30" ht="20.100000000000001" customHeight="1">
      <c r="A7" s="301" t="s">
        <v>951</v>
      </c>
      <c r="B7" s="610">
        <v>2663</v>
      </c>
      <c r="C7" s="110">
        <v>2547</v>
      </c>
      <c r="D7" s="226">
        <v>2563</v>
      </c>
      <c r="E7" s="110">
        <v>2708</v>
      </c>
      <c r="F7" s="109">
        <v>2970</v>
      </c>
      <c r="G7" s="110">
        <v>2688</v>
      </c>
      <c r="H7" s="109">
        <v>2747</v>
      </c>
      <c r="I7" s="663">
        <v>2745</v>
      </c>
      <c r="J7" s="109">
        <v>2768</v>
      </c>
      <c r="K7" s="1155">
        <v>2789</v>
      </c>
      <c r="N7" s="177"/>
      <c r="O7" s="177"/>
      <c r="P7" s="177"/>
      <c r="Q7" s="177"/>
      <c r="R7" s="177"/>
      <c r="S7" s="177"/>
      <c r="T7" s="177"/>
      <c r="U7" s="177"/>
      <c r="V7" s="177"/>
      <c r="W7" s="177"/>
      <c r="X7" s="177"/>
      <c r="Y7" s="177"/>
      <c r="Z7" s="177"/>
      <c r="AA7" s="177"/>
      <c r="AB7" s="177"/>
      <c r="AC7" s="177"/>
      <c r="AD7" s="177"/>
    </row>
    <row r="8" spans="1:30" ht="20.100000000000001" customHeight="1">
      <c r="A8" s="301" t="s">
        <v>956</v>
      </c>
      <c r="B8" s="536">
        <v>2390</v>
      </c>
      <c r="C8" s="110">
        <v>2680</v>
      </c>
      <c r="D8" s="580">
        <v>2270</v>
      </c>
      <c r="E8" s="110">
        <v>2760</v>
      </c>
      <c r="F8" s="490">
        <v>2373</v>
      </c>
      <c r="G8" s="110">
        <v>2765</v>
      </c>
      <c r="H8" s="490">
        <v>2272</v>
      </c>
      <c r="I8" s="663">
        <v>2786</v>
      </c>
      <c r="J8" s="490">
        <v>2010</v>
      </c>
      <c r="K8" s="1155">
        <v>2799</v>
      </c>
      <c r="N8" s="177"/>
      <c r="O8" s="177"/>
      <c r="P8" s="177"/>
      <c r="Q8" s="177"/>
      <c r="R8" s="177"/>
      <c r="S8" s="177"/>
      <c r="T8" s="177"/>
      <c r="U8" s="177"/>
      <c r="V8" s="177"/>
      <c r="W8" s="177"/>
      <c r="X8" s="177"/>
      <c r="Y8" s="177"/>
      <c r="Z8" s="177"/>
      <c r="AA8" s="177"/>
      <c r="AB8" s="177"/>
      <c r="AC8" s="177"/>
      <c r="AD8" s="177"/>
    </row>
    <row r="9" spans="1:30" ht="20.100000000000001" customHeight="1">
      <c r="A9" s="301" t="s">
        <v>450</v>
      </c>
      <c r="B9" s="536">
        <v>693</v>
      </c>
      <c r="C9" s="110">
        <v>1110</v>
      </c>
      <c r="D9" s="580">
        <v>499</v>
      </c>
      <c r="E9" s="110">
        <v>1069</v>
      </c>
      <c r="F9" s="490">
        <v>685</v>
      </c>
      <c r="G9" s="110">
        <v>1049</v>
      </c>
      <c r="H9" s="490">
        <v>1462</v>
      </c>
      <c r="I9" s="663">
        <v>1176</v>
      </c>
      <c r="J9" s="490">
        <v>769</v>
      </c>
      <c r="K9" s="663">
        <v>1175</v>
      </c>
      <c r="N9" s="177"/>
      <c r="O9" s="177"/>
      <c r="P9" s="177"/>
      <c r="Q9" s="177"/>
      <c r="R9" s="177"/>
      <c r="S9" s="177"/>
      <c r="T9" s="177"/>
      <c r="U9" s="177"/>
      <c r="V9" s="177"/>
      <c r="W9" s="177"/>
      <c r="X9" s="177"/>
      <c r="Y9" s="177"/>
      <c r="Z9" s="177"/>
      <c r="AA9" s="177"/>
      <c r="AB9" s="177"/>
      <c r="AC9" s="177"/>
      <c r="AD9" s="177"/>
    </row>
    <row r="10" spans="1:30" ht="20.100000000000001" customHeight="1">
      <c r="A10" s="255" t="s">
        <v>967</v>
      </c>
      <c r="B10" s="536" t="s">
        <v>1127</v>
      </c>
      <c r="C10" s="110">
        <v>2573</v>
      </c>
      <c r="D10" s="580">
        <v>3510</v>
      </c>
      <c r="E10" s="110">
        <v>2576</v>
      </c>
      <c r="F10" s="490">
        <v>3366</v>
      </c>
      <c r="G10" s="110">
        <v>2572</v>
      </c>
      <c r="H10" s="490" t="s">
        <v>1127</v>
      </c>
      <c r="I10" s="663">
        <v>2569</v>
      </c>
      <c r="J10" s="490">
        <v>3510</v>
      </c>
      <c r="K10" s="1155">
        <v>2788</v>
      </c>
      <c r="N10" s="177"/>
      <c r="O10" s="177"/>
      <c r="P10" s="177"/>
      <c r="Q10" s="177"/>
      <c r="R10" s="177"/>
      <c r="S10" s="177"/>
      <c r="T10" s="177"/>
      <c r="U10" s="177"/>
      <c r="V10" s="177"/>
      <c r="W10" s="177"/>
      <c r="X10" s="177"/>
      <c r="Y10" s="177"/>
      <c r="Z10" s="177"/>
      <c r="AA10" s="177"/>
      <c r="AB10" s="177"/>
      <c r="AC10" s="177"/>
      <c r="AD10" s="177"/>
    </row>
    <row r="11" spans="1:30" ht="29.25" customHeight="1">
      <c r="A11" s="255" t="s">
        <v>1396</v>
      </c>
      <c r="B11" s="536">
        <v>762</v>
      </c>
      <c r="C11" s="110">
        <v>850</v>
      </c>
      <c r="D11" s="580">
        <v>817</v>
      </c>
      <c r="E11" s="110">
        <v>1021</v>
      </c>
      <c r="F11" s="490">
        <v>798</v>
      </c>
      <c r="G11" s="110">
        <v>908</v>
      </c>
      <c r="H11" s="490">
        <v>806</v>
      </c>
      <c r="I11" s="663">
        <v>1062</v>
      </c>
      <c r="J11" s="490">
        <v>776</v>
      </c>
      <c r="K11" s="1155">
        <v>1066</v>
      </c>
      <c r="N11" s="177"/>
      <c r="O11" s="177"/>
      <c r="P11" s="177"/>
      <c r="Q11" s="177"/>
      <c r="R11" s="177"/>
      <c r="S11" s="177"/>
      <c r="T11" s="177"/>
      <c r="U11" s="177"/>
      <c r="V11" s="177"/>
      <c r="W11" s="177"/>
      <c r="X11" s="177"/>
      <c r="Y11" s="177"/>
      <c r="Z11" s="177"/>
      <c r="AA11" s="177"/>
      <c r="AB11" s="177"/>
      <c r="AC11" s="177"/>
      <c r="AD11" s="177"/>
    </row>
    <row r="12" spans="1:30" ht="20.100000000000001" customHeight="1">
      <c r="A12" s="301" t="s">
        <v>1021</v>
      </c>
      <c r="B12" s="536">
        <v>41145</v>
      </c>
      <c r="C12" s="110">
        <v>35768</v>
      </c>
      <c r="D12" s="580">
        <v>39295</v>
      </c>
      <c r="E12" s="110">
        <v>32831</v>
      </c>
      <c r="F12" s="490">
        <v>30531</v>
      </c>
      <c r="G12" s="110">
        <v>25641</v>
      </c>
      <c r="H12" s="490">
        <v>26328</v>
      </c>
      <c r="I12" s="663">
        <v>29869</v>
      </c>
      <c r="J12" s="490">
        <v>16115</v>
      </c>
      <c r="K12" s="1155">
        <v>21955</v>
      </c>
      <c r="N12" s="177"/>
      <c r="O12" s="177"/>
      <c r="P12" s="177"/>
      <c r="Q12" s="177"/>
      <c r="R12" s="177"/>
      <c r="S12" s="177"/>
      <c r="T12" s="177"/>
      <c r="U12" s="177"/>
      <c r="V12" s="177"/>
      <c r="W12" s="177"/>
      <c r="X12" s="177"/>
      <c r="Y12" s="177"/>
      <c r="Z12" s="177"/>
      <c r="AA12" s="177"/>
      <c r="AB12" s="177"/>
      <c r="AC12" s="177"/>
      <c r="AD12" s="177"/>
    </row>
    <row r="13" spans="1:30" ht="20.100000000000001" customHeight="1">
      <c r="A13" s="491" t="s">
        <v>1023</v>
      </c>
      <c r="B13" s="1151" t="s">
        <v>1127</v>
      </c>
      <c r="C13" s="664" t="s">
        <v>1111</v>
      </c>
      <c r="D13" s="1151" t="s">
        <v>1127</v>
      </c>
      <c r="E13" s="1152" t="s">
        <v>1112</v>
      </c>
      <c r="F13" s="1153" t="s">
        <v>1127</v>
      </c>
      <c r="G13" s="1154" t="s">
        <v>1719</v>
      </c>
      <c r="H13" s="1153" t="s">
        <v>1127</v>
      </c>
      <c r="I13" s="1154">
        <v>2046</v>
      </c>
      <c r="J13" s="1153" t="s">
        <v>1127</v>
      </c>
      <c r="K13" s="1154">
        <v>2222</v>
      </c>
      <c r="N13" s="177"/>
      <c r="O13" s="177"/>
      <c r="P13" s="177"/>
      <c r="Q13" s="177"/>
      <c r="R13" s="177"/>
      <c r="S13" s="177"/>
      <c r="T13" s="177"/>
      <c r="U13" s="177"/>
      <c r="V13" s="177"/>
      <c r="W13" s="177"/>
      <c r="X13" s="177"/>
      <c r="Y13" s="177"/>
      <c r="Z13" s="177"/>
      <c r="AA13" s="177"/>
      <c r="AB13" s="177"/>
      <c r="AC13" s="177"/>
      <c r="AD13" s="177"/>
    </row>
    <row r="14" spans="1:30">
      <c r="A14" s="266"/>
      <c r="B14" s="266"/>
      <c r="C14" s="492"/>
      <c r="D14" s="266"/>
      <c r="E14" s="266"/>
      <c r="G14" s="718" t="s">
        <v>1028</v>
      </c>
      <c r="H14" s="765" t="s">
        <v>760</v>
      </c>
      <c r="I14" s="765"/>
      <c r="J14" s="765"/>
      <c r="K14" s="765"/>
      <c r="N14" s="177"/>
      <c r="O14" s="177"/>
      <c r="P14" s="177"/>
      <c r="Q14" s="177"/>
      <c r="R14" s="177"/>
      <c r="S14" s="177"/>
      <c r="T14" s="177"/>
      <c r="U14" s="177"/>
      <c r="V14" s="177"/>
      <c r="W14" s="177"/>
      <c r="X14" s="177"/>
      <c r="Y14" s="177"/>
      <c r="Z14" s="177"/>
      <c r="AA14" s="177"/>
      <c r="AB14" s="177"/>
      <c r="AC14" s="177"/>
      <c r="AD14" s="177"/>
    </row>
    <row r="15" spans="1:30">
      <c r="A15" s="266"/>
      <c r="B15" s="266"/>
      <c r="C15" s="266"/>
      <c r="D15" s="266"/>
      <c r="E15" s="266"/>
      <c r="G15" s="516"/>
      <c r="H15" s="719" t="s">
        <v>761</v>
      </c>
      <c r="I15" s="719"/>
      <c r="J15" s="719"/>
      <c r="K15" s="719"/>
      <c r="N15" s="177"/>
      <c r="O15" s="177"/>
      <c r="P15" s="177"/>
      <c r="Q15" s="177"/>
      <c r="R15" s="177"/>
      <c r="S15" s="177"/>
      <c r="T15" s="177"/>
      <c r="U15" s="177"/>
      <c r="V15" s="177"/>
      <c r="W15" s="177"/>
      <c r="X15" s="177"/>
      <c r="Y15" s="177"/>
      <c r="Z15" s="177"/>
      <c r="AA15" s="177"/>
      <c r="AB15" s="177"/>
      <c r="AC15" s="177"/>
      <c r="AD15" s="177"/>
    </row>
    <row r="16" spans="1:30">
      <c r="A16" s="266"/>
      <c r="B16" s="266"/>
      <c r="C16" s="266"/>
      <c r="D16" s="266"/>
      <c r="E16" s="266"/>
      <c r="G16" s="516"/>
      <c r="H16" s="719" t="s">
        <v>1064</v>
      </c>
      <c r="I16" s="719"/>
      <c r="J16" s="516"/>
      <c r="K16" s="516"/>
      <c r="N16" s="177"/>
      <c r="O16" s="177"/>
      <c r="P16" s="177"/>
      <c r="Q16" s="177"/>
      <c r="R16" s="177"/>
      <c r="S16" s="177"/>
      <c r="T16" s="177"/>
      <c r="U16" s="177"/>
      <c r="V16" s="177"/>
      <c r="W16" s="177"/>
      <c r="X16" s="177"/>
      <c r="Y16" s="177"/>
      <c r="Z16" s="177"/>
      <c r="AA16" s="177"/>
      <c r="AB16" s="177"/>
      <c r="AC16" s="177"/>
      <c r="AD16" s="177"/>
    </row>
    <row r="17" spans="1:39">
      <c r="A17" s="306"/>
      <c r="B17" s="306"/>
      <c r="C17" s="306"/>
      <c r="D17" s="306"/>
      <c r="E17" s="306"/>
      <c r="F17" s="306"/>
      <c r="G17" s="306"/>
      <c r="H17" s="306"/>
      <c r="I17" s="306"/>
      <c r="J17" s="306"/>
      <c r="K17" s="306"/>
      <c r="L17" s="177"/>
      <c r="M17" s="177"/>
      <c r="N17" s="177"/>
      <c r="O17" s="177"/>
      <c r="P17" s="177"/>
      <c r="Q17" s="177"/>
      <c r="R17" s="177"/>
      <c r="S17" s="177"/>
      <c r="T17" s="177"/>
      <c r="U17" s="177"/>
      <c r="V17" s="177"/>
      <c r="W17" s="177"/>
      <c r="X17" s="177"/>
      <c r="Y17" s="177"/>
      <c r="Z17" s="177"/>
      <c r="AA17" s="177"/>
      <c r="AB17" s="177"/>
      <c r="AC17" s="177"/>
      <c r="AD17" s="177"/>
    </row>
    <row r="18" spans="1:39" s="206" customFormat="1" ht="16.5" customHeight="1">
      <c r="A18" s="1229" t="s">
        <v>820</v>
      </c>
      <c r="B18" s="1229"/>
      <c r="C18" s="1229"/>
      <c r="D18" s="1229"/>
      <c r="E18" s="1229"/>
      <c r="F18" s="1229"/>
      <c r="G18" s="1229"/>
      <c r="H18" s="1229"/>
      <c r="I18" s="1229"/>
      <c r="J18" s="1229"/>
      <c r="K18" s="1229"/>
      <c r="L18" s="288"/>
      <c r="M18" s="288"/>
      <c r="N18" s="288"/>
      <c r="O18" s="288"/>
      <c r="P18" s="288"/>
      <c r="Q18" s="288"/>
      <c r="R18" s="288"/>
      <c r="S18" s="288"/>
      <c r="T18" s="288"/>
      <c r="U18" s="288"/>
      <c r="V18" s="288"/>
      <c r="W18" s="288"/>
      <c r="X18" s="288"/>
      <c r="Y18" s="288"/>
      <c r="Z18" s="288"/>
      <c r="AA18" s="288"/>
      <c r="AB18" s="288"/>
      <c r="AC18" s="288"/>
      <c r="AD18" s="288"/>
    </row>
    <row r="19" spans="1:39" ht="17.25" customHeight="1">
      <c r="A19" s="1235" t="str">
        <f>CONCATENATE("Index Numbers of Agricultural Area, Production &amp; Productivity in the district of ",District!$A$1)</f>
        <v>Index Numbers of Agricultural Area, Production &amp; Productivity in the district of Bankura</v>
      </c>
      <c r="B19" s="1235"/>
      <c r="C19" s="1235"/>
      <c r="D19" s="1235"/>
      <c r="E19" s="1235"/>
      <c r="F19" s="1235"/>
      <c r="G19" s="1235"/>
      <c r="H19" s="1235"/>
      <c r="I19" s="1235"/>
      <c r="J19" s="1235"/>
      <c r="K19" s="1235"/>
      <c r="L19" s="177"/>
      <c r="M19" s="177"/>
      <c r="N19" s="177"/>
      <c r="O19" s="177"/>
      <c r="P19" s="177"/>
      <c r="Q19" s="177"/>
      <c r="R19" s="177"/>
      <c r="S19" s="177"/>
      <c r="T19" s="177"/>
      <c r="U19" s="177"/>
      <c r="V19" s="177"/>
      <c r="W19" s="177"/>
      <c r="X19" s="177"/>
      <c r="Y19" s="177"/>
      <c r="Z19" s="177"/>
      <c r="AA19" s="177"/>
      <c r="AB19" s="177"/>
      <c r="AC19" s="177"/>
      <c r="AD19" s="177"/>
    </row>
    <row r="20" spans="1:39" ht="15.75" customHeight="1">
      <c r="A20" s="1229" t="s">
        <v>648</v>
      </c>
      <c r="B20" s="1229"/>
      <c r="C20" s="1229"/>
      <c r="D20" s="1229"/>
      <c r="E20" s="1229"/>
      <c r="F20" s="1229"/>
      <c r="G20" s="1229"/>
      <c r="H20" s="1229"/>
      <c r="I20" s="1229"/>
      <c r="J20" s="1229"/>
      <c r="K20" s="1229"/>
      <c r="L20" s="177"/>
      <c r="M20" s="177"/>
      <c r="N20" s="177"/>
      <c r="O20" s="177"/>
      <c r="P20" s="177"/>
      <c r="S20" s="177"/>
      <c r="T20" s="177"/>
      <c r="U20" s="177"/>
      <c r="V20" s="177"/>
      <c r="W20" s="177"/>
      <c r="X20" s="177"/>
      <c r="Y20" s="177"/>
      <c r="Z20" s="177"/>
      <c r="AA20" s="177"/>
      <c r="AB20" s="177"/>
      <c r="AC20" s="177"/>
      <c r="AD20" s="177"/>
    </row>
    <row r="21" spans="1:39" ht="27.75" customHeight="1">
      <c r="A21" s="1186" t="s">
        <v>304</v>
      </c>
      <c r="B21" s="1184"/>
      <c r="C21" s="1193" t="s">
        <v>1508</v>
      </c>
      <c r="D21" s="1191"/>
      <c r="E21" s="1192"/>
      <c r="F21" s="1191" t="s">
        <v>1066</v>
      </c>
      <c r="G21" s="1191"/>
      <c r="H21" s="1192"/>
      <c r="I21" s="1191" t="s">
        <v>298</v>
      </c>
      <c r="J21" s="1191"/>
      <c r="K21" s="1192"/>
      <c r="L21" s="177"/>
      <c r="M21" s="177"/>
      <c r="N21" s="177"/>
      <c r="O21" s="177"/>
      <c r="P21" s="177"/>
      <c r="Q21" s="177"/>
      <c r="R21" s="177"/>
      <c r="S21" s="177"/>
      <c r="T21" s="177"/>
      <c r="U21" s="177"/>
      <c r="V21" s="177"/>
      <c r="W21" s="177"/>
      <c r="X21" s="177"/>
      <c r="Y21" s="177"/>
      <c r="Z21" s="177"/>
      <c r="AA21" s="177"/>
      <c r="AB21" s="177"/>
      <c r="AC21" s="177"/>
      <c r="AD21" s="177"/>
    </row>
    <row r="22" spans="1:39" ht="18.75" customHeight="1">
      <c r="A22" s="1242"/>
      <c r="B22" s="1185"/>
      <c r="C22" s="29" t="s">
        <v>297</v>
      </c>
      <c r="D22" s="1261" t="s">
        <v>1444</v>
      </c>
      <c r="E22" s="1263"/>
      <c r="F22" s="58" t="s">
        <v>297</v>
      </c>
      <c r="G22" s="1262" t="s">
        <v>1444</v>
      </c>
      <c r="H22" s="1263"/>
      <c r="I22" s="58" t="s">
        <v>297</v>
      </c>
      <c r="J22" s="1262" t="s">
        <v>1444</v>
      </c>
      <c r="K22" s="1263"/>
      <c r="L22" s="177"/>
      <c r="M22" s="177"/>
      <c r="N22" s="177"/>
      <c r="O22" s="177"/>
      <c r="P22" s="177"/>
      <c r="Q22" s="177"/>
      <c r="R22" s="177"/>
      <c r="S22" s="177"/>
      <c r="T22" s="177"/>
      <c r="U22" s="177"/>
      <c r="V22" s="177"/>
      <c r="W22" s="177"/>
      <c r="X22" s="177"/>
      <c r="Y22" s="177"/>
      <c r="Z22" s="177"/>
      <c r="AA22" s="177"/>
      <c r="AB22" s="177"/>
      <c r="AC22" s="177"/>
      <c r="AD22" s="177"/>
    </row>
    <row r="23" spans="1:39" ht="18" customHeight="1">
      <c r="A23" s="1201" t="s">
        <v>418</v>
      </c>
      <c r="B23" s="1257"/>
      <c r="C23" s="221" t="s">
        <v>419</v>
      </c>
      <c r="D23" s="1201" t="s">
        <v>420</v>
      </c>
      <c r="E23" s="1257"/>
      <c r="F23" s="213" t="s">
        <v>421</v>
      </c>
      <c r="G23" s="1202" t="s">
        <v>422</v>
      </c>
      <c r="H23" s="1257"/>
      <c r="I23" s="213" t="s">
        <v>423</v>
      </c>
      <c r="J23" s="1202" t="s">
        <v>424</v>
      </c>
      <c r="K23" s="1257"/>
      <c r="L23" s="177"/>
      <c r="M23" s="177"/>
      <c r="N23" s="177"/>
      <c r="O23" s="177"/>
      <c r="P23" s="177"/>
      <c r="Q23" s="177"/>
      <c r="R23" s="177"/>
      <c r="S23" s="177"/>
      <c r="T23" s="177"/>
      <c r="U23" s="177"/>
      <c r="V23" s="177"/>
      <c r="W23" s="177"/>
      <c r="X23" s="177"/>
      <c r="Y23" s="177"/>
      <c r="Z23" s="177"/>
      <c r="AA23" s="177"/>
      <c r="AB23" s="177"/>
      <c r="AC23" s="177"/>
      <c r="AD23" s="177"/>
    </row>
    <row r="24" spans="1:39" ht="18.75" customHeight="1">
      <c r="A24" s="1203" t="str">
        <f>District!B16</f>
        <v>2009-10</v>
      </c>
      <c r="B24" s="1204"/>
      <c r="C24" s="166">
        <v>103.22</v>
      </c>
      <c r="D24" s="1186">
        <v>110.67</v>
      </c>
      <c r="E24" s="1184"/>
      <c r="F24" s="183">
        <v>225.69</v>
      </c>
      <c r="G24" s="1186" t="s">
        <v>1113</v>
      </c>
      <c r="H24" s="1184"/>
      <c r="I24" s="183">
        <v>218.65</v>
      </c>
      <c r="J24" s="1186">
        <v>286.20999999999998</v>
      </c>
      <c r="K24" s="1184"/>
      <c r="L24" s="177"/>
      <c r="M24" s="177"/>
      <c r="N24" s="177"/>
      <c r="O24" s="177"/>
      <c r="P24" s="177"/>
      <c r="Q24" s="177"/>
      <c r="R24" s="177"/>
      <c r="S24" s="177"/>
      <c r="T24" s="177"/>
      <c r="U24" s="177"/>
      <c r="V24" s="177"/>
      <c r="W24" s="177"/>
      <c r="X24" s="177"/>
      <c r="Y24" s="177"/>
      <c r="Z24" s="177"/>
      <c r="AA24" s="177"/>
      <c r="AB24" s="177"/>
      <c r="AC24" s="177"/>
      <c r="AD24" s="177"/>
    </row>
    <row r="25" spans="1:39" ht="18.75" customHeight="1">
      <c r="A25" s="1205" t="str">
        <f>District!B17</f>
        <v>2010-11</v>
      </c>
      <c r="B25" s="1206"/>
      <c r="C25" s="166">
        <v>54.44</v>
      </c>
      <c r="D25" s="1188">
        <v>63.53</v>
      </c>
      <c r="E25" s="1200"/>
      <c r="F25" s="183">
        <v>115.49</v>
      </c>
      <c r="G25" s="1188">
        <v>207.45</v>
      </c>
      <c r="H25" s="1200"/>
      <c r="I25" s="183">
        <v>212.14</v>
      </c>
      <c r="J25" s="1188">
        <v>326.54000000000002</v>
      </c>
      <c r="K25" s="1200"/>
      <c r="L25" s="177"/>
      <c r="M25" s="177"/>
      <c r="N25" s="177"/>
      <c r="O25" s="177"/>
      <c r="P25" s="177"/>
      <c r="Q25" s="177"/>
      <c r="R25" s="177"/>
      <c r="S25" s="177"/>
      <c r="T25" s="177"/>
      <c r="U25" s="177"/>
      <c r="V25" s="177"/>
      <c r="W25" s="177"/>
      <c r="X25" s="177"/>
      <c r="Y25" s="177"/>
      <c r="Z25" s="177"/>
      <c r="AA25" s="177"/>
      <c r="AB25" s="177"/>
      <c r="AC25" s="177"/>
      <c r="AD25" s="177"/>
    </row>
    <row r="26" spans="1:39" ht="18.75" customHeight="1">
      <c r="A26" s="1205" t="str">
        <f>District!B18</f>
        <v>2011-12</v>
      </c>
      <c r="B26" s="1206"/>
      <c r="C26" s="166">
        <v>102.73</v>
      </c>
      <c r="D26" s="1188">
        <v>107.85</v>
      </c>
      <c r="E26" s="1200"/>
      <c r="F26" s="183">
        <v>249.89</v>
      </c>
      <c r="G26" s="1188">
        <v>300.02</v>
      </c>
      <c r="H26" s="1200"/>
      <c r="I26" s="183">
        <v>243.25</v>
      </c>
      <c r="J26" s="1188">
        <v>278.18</v>
      </c>
      <c r="K26" s="1200"/>
      <c r="L26" s="177"/>
      <c r="M26" s="177"/>
      <c r="N26" s="177"/>
      <c r="O26" s="177"/>
      <c r="P26" s="177"/>
      <c r="Q26" s="177"/>
      <c r="R26" s="177"/>
      <c r="S26" s="177"/>
      <c r="T26" s="177"/>
      <c r="U26" s="177"/>
      <c r="V26" s="177"/>
      <c r="W26" s="177"/>
      <c r="X26" s="177"/>
      <c r="Y26" s="177"/>
      <c r="Z26" s="177"/>
      <c r="AA26" s="177"/>
      <c r="AB26" s="177"/>
      <c r="AC26" s="177"/>
      <c r="AD26" s="177"/>
    </row>
    <row r="27" spans="1:39" ht="18.75" customHeight="1">
      <c r="A27" s="1205" t="str">
        <f>District!B19</f>
        <v>2012-13</v>
      </c>
      <c r="B27" s="1206"/>
      <c r="C27" s="185">
        <v>102.56</v>
      </c>
      <c r="D27" s="1188">
        <v>108.2</v>
      </c>
      <c r="E27" s="1200"/>
      <c r="F27" s="184">
        <v>230.92</v>
      </c>
      <c r="G27" s="1188">
        <v>268.02</v>
      </c>
      <c r="H27" s="1200"/>
      <c r="I27" s="184">
        <v>225.16</v>
      </c>
      <c r="J27" s="1188">
        <v>247.71</v>
      </c>
      <c r="K27" s="1200"/>
      <c r="L27" s="177"/>
      <c r="M27" s="177"/>
      <c r="N27" s="177"/>
      <c r="O27" s="177"/>
      <c r="P27" s="177"/>
      <c r="Q27" s="177"/>
      <c r="R27" s="177"/>
      <c r="S27" s="177"/>
      <c r="T27" s="177"/>
      <c r="U27" s="177"/>
      <c r="V27" s="177"/>
      <c r="W27" s="177"/>
      <c r="X27" s="177"/>
      <c r="Y27" s="177"/>
      <c r="Z27" s="177"/>
      <c r="AA27" s="177"/>
      <c r="AB27" s="177"/>
      <c r="AC27" s="177"/>
      <c r="AD27" s="177"/>
    </row>
    <row r="28" spans="1:39" ht="18.75" customHeight="1">
      <c r="A28" s="1397" t="str">
        <f>District!B20</f>
        <v>2013-14</v>
      </c>
      <c r="B28" s="1398"/>
      <c r="C28" s="164">
        <v>103.08</v>
      </c>
      <c r="D28" s="1242">
        <v>108.28</v>
      </c>
      <c r="E28" s="1185"/>
      <c r="F28" s="248">
        <v>233.91</v>
      </c>
      <c r="G28" s="1218">
        <v>250.92</v>
      </c>
      <c r="H28" s="1185"/>
      <c r="I28" s="248">
        <v>226.92</v>
      </c>
      <c r="J28" s="1218">
        <v>231.73</v>
      </c>
      <c r="K28" s="1185"/>
      <c r="L28" s="177"/>
      <c r="M28" s="177"/>
      <c r="N28" s="177"/>
      <c r="O28" s="177"/>
      <c r="P28" s="177"/>
      <c r="Q28" s="177"/>
      <c r="R28" s="177"/>
      <c r="S28" s="177"/>
      <c r="T28" s="177"/>
      <c r="U28" s="177"/>
      <c r="V28" s="177"/>
      <c r="W28" s="177"/>
      <c r="X28" s="177"/>
      <c r="Y28" s="177"/>
      <c r="Z28" s="177"/>
      <c r="AA28" s="177"/>
      <c r="AB28" s="177"/>
      <c r="AC28" s="177"/>
      <c r="AD28" s="177"/>
    </row>
    <row r="29" spans="1:39">
      <c r="A29" s="266"/>
      <c r="B29" s="266"/>
      <c r="C29" s="266"/>
      <c r="D29" s="266"/>
      <c r="E29" s="266"/>
      <c r="F29" s="55"/>
      <c r="I29" s="177"/>
      <c r="J29" s="55"/>
      <c r="K29" s="718" t="s">
        <v>1443</v>
      </c>
      <c r="L29" s="177"/>
      <c r="M29" s="177"/>
      <c r="N29" s="177"/>
      <c r="O29" s="177"/>
      <c r="P29" s="177"/>
      <c r="Q29" s="177"/>
      <c r="R29" s="177"/>
      <c r="S29" s="177"/>
      <c r="T29" s="177"/>
      <c r="U29" s="177"/>
      <c r="V29" s="177"/>
      <c r="W29" s="177"/>
      <c r="X29" s="177"/>
      <c r="Y29" s="177"/>
      <c r="Z29" s="177"/>
      <c r="AA29" s="177"/>
      <c r="AB29" s="177"/>
      <c r="AC29" s="177"/>
      <c r="AD29" s="177"/>
    </row>
    <row r="30" spans="1:39">
      <c r="A30" s="177"/>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row>
    <row r="31" spans="1:39">
      <c r="I31" s="177"/>
      <c r="J31" s="177"/>
      <c r="K31" s="177"/>
      <c r="L31" s="177"/>
      <c r="M31" s="177"/>
    </row>
    <row r="32" spans="1:39">
      <c r="C32"/>
      <c r="D32"/>
      <c r="E32"/>
      <c r="F32"/>
      <c r="G32"/>
      <c r="H32"/>
      <c r="I32"/>
      <c r="J32"/>
      <c r="K32"/>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7"/>
      <c r="AL32" s="177"/>
      <c r="AM32" s="177"/>
    </row>
    <row r="33" spans="1:39">
      <c r="C33"/>
      <c r="D33"/>
      <c r="E33"/>
      <c r="F33"/>
      <c r="G33"/>
      <c r="H33"/>
      <c r="I33"/>
      <c r="J33"/>
      <c r="K33"/>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77"/>
      <c r="AK33" s="177"/>
      <c r="AL33" s="177"/>
      <c r="AM33" s="177"/>
    </row>
    <row r="34" spans="1:39">
      <c r="C34"/>
      <c r="D34"/>
      <c r="E34"/>
      <c r="F34"/>
      <c r="G34"/>
      <c r="H34"/>
      <c r="I34"/>
      <c r="J34"/>
      <c r="K34"/>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77"/>
      <c r="AK34" s="177"/>
      <c r="AL34" s="177"/>
      <c r="AM34" s="177"/>
    </row>
    <row r="35" spans="1:39">
      <c r="C35"/>
      <c r="D35"/>
      <c r="E35"/>
      <c r="F35"/>
      <c r="G35"/>
      <c r="H35"/>
      <c r="I35"/>
      <c r="J35"/>
      <c r="K35"/>
      <c r="L35" s="177"/>
      <c r="M35" s="177"/>
      <c r="N35" s="177"/>
      <c r="O35" s="177"/>
      <c r="P35" s="177"/>
      <c r="Q35" s="177"/>
      <c r="R35" s="177"/>
      <c r="S35" s="177"/>
      <c r="T35" s="177"/>
      <c r="U35" s="177"/>
      <c r="V35" s="177"/>
      <c r="W35" s="177"/>
      <c r="X35" s="177"/>
      <c r="Y35" s="177"/>
      <c r="Z35" s="177"/>
      <c r="AA35" s="177"/>
      <c r="AB35" s="177"/>
      <c r="AC35" s="177"/>
      <c r="AD35" s="177"/>
      <c r="AE35" s="177"/>
      <c r="AF35" s="177"/>
      <c r="AG35" s="177"/>
      <c r="AH35" s="177"/>
      <c r="AI35" s="177"/>
      <c r="AJ35" s="177"/>
      <c r="AK35" s="177"/>
      <c r="AL35" s="177"/>
      <c r="AM35" s="177"/>
    </row>
    <row r="36" spans="1:39">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7"/>
      <c r="AM36" s="177"/>
    </row>
    <row r="37" spans="1:39">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row>
    <row r="38" spans="1:39">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row>
    <row r="39" spans="1:39">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177"/>
    </row>
    <row r="40" spans="1:39">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row>
    <row r="41" spans="1:39">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c r="AJ41" s="177"/>
      <c r="AK41" s="177"/>
      <c r="AL41" s="177"/>
      <c r="AM41" s="177"/>
    </row>
    <row r="42" spans="1:39">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7"/>
      <c r="AI42" s="177"/>
      <c r="AJ42" s="177"/>
      <c r="AK42" s="177"/>
      <c r="AL42" s="177"/>
      <c r="AM42" s="177"/>
    </row>
    <row r="43" spans="1:39">
      <c r="A43" s="177"/>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77"/>
      <c r="AM43" s="177"/>
    </row>
    <row r="44" spans="1:39">
      <c r="A44" s="177"/>
      <c r="B44" s="177"/>
      <c r="C44" s="177"/>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c r="AH44" s="177"/>
      <c r="AI44" s="177"/>
      <c r="AJ44" s="177"/>
      <c r="AK44" s="177"/>
      <c r="AL44" s="177"/>
      <c r="AM44" s="177"/>
    </row>
    <row r="45" spans="1:39">
      <c r="A45" s="177"/>
      <c r="B45" s="177"/>
      <c r="C45" s="177"/>
      <c r="D45" s="177"/>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77"/>
      <c r="AM45" s="177"/>
    </row>
    <row r="46" spans="1:39">
      <c r="A46" s="177"/>
      <c r="B46" s="177"/>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77"/>
      <c r="AK46" s="177"/>
      <c r="AL46" s="177"/>
      <c r="AM46" s="177"/>
    </row>
    <row r="47" spans="1:39">
      <c r="A47" s="177"/>
      <c r="B47" s="177"/>
      <c r="C47" s="177"/>
      <c r="D47" s="177"/>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c r="AM47" s="177"/>
    </row>
    <row r="48" spans="1:39">
      <c r="A48" s="177"/>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77"/>
      <c r="AK48" s="177"/>
      <c r="AL48" s="177"/>
      <c r="AM48" s="177"/>
    </row>
    <row r="49" spans="1:39">
      <c r="A49" s="177"/>
      <c r="B49" s="177"/>
      <c r="C49" s="177"/>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c r="AJ49" s="177"/>
      <c r="AK49" s="177"/>
      <c r="AL49" s="177"/>
      <c r="AM49" s="177"/>
    </row>
    <row r="50" spans="1:39">
      <c r="A50" s="177"/>
      <c r="B50" s="177"/>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c r="AH50" s="177"/>
      <c r="AI50" s="177"/>
      <c r="AJ50" s="177"/>
      <c r="AK50" s="177"/>
      <c r="AL50" s="177"/>
      <c r="AM50" s="177"/>
    </row>
    <row r="51" spans="1:39">
      <c r="A51" s="177"/>
      <c r="B51" s="177"/>
      <c r="C51" s="177"/>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7"/>
      <c r="AJ51" s="177"/>
      <c r="AK51" s="177"/>
      <c r="AL51" s="177"/>
      <c r="AM51" s="177"/>
    </row>
    <row r="52" spans="1:39">
      <c r="A52" s="177"/>
      <c r="B52" s="177"/>
      <c r="C52" s="177"/>
      <c r="D52" s="177"/>
      <c r="E52" s="177"/>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77"/>
      <c r="AK52" s="177"/>
      <c r="AL52" s="177"/>
      <c r="AM52" s="177"/>
    </row>
    <row r="53" spans="1:39">
      <c r="A53" s="177"/>
      <c r="B53" s="177"/>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7"/>
      <c r="AK53" s="177"/>
      <c r="AL53" s="177"/>
      <c r="AM53" s="177"/>
    </row>
    <row r="54" spans="1:39">
      <c r="A54" s="177"/>
      <c r="B54" s="177"/>
      <c r="C54" s="177"/>
      <c r="D54" s="177"/>
      <c r="E54" s="177"/>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7"/>
      <c r="AH54" s="177"/>
      <c r="AI54" s="177"/>
      <c r="AJ54" s="177"/>
      <c r="AK54" s="177"/>
      <c r="AL54" s="177"/>
      <c r="AM54" s="177"/>
    </row>
    <row r="55" spans="1:39">
      <c r="A55" s="177"/>
      <c r="B55" s="177"/>
      <c r="C55" s="177"/>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c r="AI55" s="177"/>
      <c r="AJ55" s="177"/>
      <c r="AK55" s="177"/>
      <c r="AL55" s="177"/>
      <c r="AM55" s="177"/>
    </row>
    <row r="56" spans="1:39">
      <c r="A56" s="177"/>
      <c r="B56" s="177"/>
      <c r="C56" s="177"/>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177"/>
      <c r="AK56" s="177"/>
      <c r="AL56" s="177"/>
      <c r="AM56" s="177"/>
    </row>
    <row r="57" spans="1:39">
      <c r="A57" s="177"/>
      <c r="B57" s="177"/>
      <c r="C57" s="177"/>
      <c r="D57" s="177"/>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177"/>
      <c r="AL57" s="177"/>
      <c r="AM57" s="177"/>
    </row>
    <row r="58" spans="1:39">
      <c r="A58" s="177"/>
      <c r="B58" s="177"/>
      <c r="C58" s="177"/>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177"/>
    </row>
    <row r="59" spans="1:39">
      <c r="A59" s="177"/>
      <c r="B59" s="177"/>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row>
    <row r="60" spans="1:39">
      <c r="A60" s="177"/>
      <c r="B60" s="177"/>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row>
    <row r="61" spans="1:39">
      <c r="A61" s="177"/>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row>
    <row r="62" spans="1:39">
      <c r="A62" s="177"/>
      <c r="B62" s="177"/>
      <c r="C62" s="177"/>
      <c r="D62" s="177"/>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7"/>
      <c r="AM62" s="177"/>
    </row>
    <row r="63" spans="1:39">
      <c r="A63" s="177"/>
      <c r="B63" s="177"/>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7"/>
    </row>
    <row r="64" spans="1:39">
      <c r="A64" s="177"/>
      <c r="B64" s="177"/>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c r="AH64" s="177"/>
      <c r="AI64" s="177"/>
      <c r="AJ64" s="177"/>
      <c r="AK64" s="177"/>
      <c r="AL64" s="177"/>
      <c r="AM64" s="177"/>
    </row>
    <row r="65" spans="1:39">
      <c r="A65" s="177"/>
      <c r="B65" s="177"/>
      <c r="C65" s="177"/>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77"/>
      <c r="AK65" s="177"/>
      <c r="AL65" s="177"/>
      <c r="AM65" s="177"/>
    </row>
    <row r="66" spans="1:39">
      <c r="A66" s="177"/>
      <c r="B66" s="177"/>
      <c r="C66" s="177"/>
      <c r="D66" s="177"/>
      <c r="E66" s="177"/>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177"/>
      <c r="AD66" s="177"/>
      <c r="AE66" s="177"/>
      <c r="AF66" s="177"/>
      <c r="AG66" s="177"/>
      <c r="AH66" s="177"/>
      <c r="AI66" s="177"/>
      <c r="AJ66" s="177"/>
      <c r="AK66" s="177"/>
      <c r="AL66" s="177"/>
      <c r="AM66" s="177"/>
    </row>
    <row r="67" spans="1:39">
      <c r="A67" s="177"/>
      <c r="B67" s="177"/>
      <c r="C67" s="177"/>
      <c r="D67" s="177"/>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7"/>
      <c r="AF67" s="177"/>
      <c r="AG67" s="177"/>
      <c r="AH67" s="177"/>
      <c r="AI67" s="177"/>
      <c r="AJ67" s="177"/>
      <c r="AK67" s="177"/>
      <c r="AL67" s="177"/>
      <c r="AM67" s="177"/>
    </row>
    <row r="68" spans="1:39">
      <c r="A68" s="177"/>
      <c r="B68" s="177"/>
      <c r="C68" s="177"/>
      <c r="D68" s="177"/>
      <c r="E68" s="177"/>
      <c r="F68" s="177"/>
      <c r="G68" s="177"/>
      <c r="H68" s="177"/>
      <c r="I68" s="177"/>
      <c r="J68" s="177"/>
      <c r="K68" s="177"/>
      <c r="L68" s="177"/>
      <c r="M68" s="177"/>
      <c r="N68" s="177"/>
      <c r="O68" s="177"/>
      <c r="P68" s="177"/>
      <c r="Q68" s="177"/>
      <c r="R68" s="177"/>
      <c r="S68" s="177"/>
      <c r="T68" s="177"/>
      <c r="U68" s="177"/>
      <c r="V68" s="177"/>
      <c r="W68" s="177"/>
      <c r="X68" s="177"/>
      <c r="Y68" s="177"/>
      <c r="Z68" s="177"/>
      <c r="AA68" s="177"/>
      <c r="AB68" s="177"/>
      <c r="AC68" s="177"/>
      <c r="AD68" s="177"/>
      <c r="AE68" s="177"/>
      <c r="AF68" s="177"/>
      <c r="AG68" s="177"/>
      <c r="AH68" s="177"/>
      <c r="AI68" s="177"/>
      <c r="AJ68" s="177"/>
      <c r="AK68" s="177"/>
      <c r="AL68" s="177"/>
      <c r="AM68" s="177"/>
    </row>
    <row r="69" spans="1:39">
      <c r="A69" s="177"/>
      <c r="B69" s="177"/>
      <c r="C69" s="177"/>
      <c r="D69" s="177"/>
      <c r="E69" s="177"/>
      <c r="F69" s="177"/>
      <c r="G69" s="177"/>
      <c r="H69" s="177"/>
      <c r="I69" s="177"/>
      <c r="J69" s="177"/>
      <c r="K69" s="177"/>
      <c r="L69" s="177"/>
      <c r="M69" s="177"/>
      <c r="N69" s="177"/>
      <c r="O69" s="177"/>
      <c r="P69" s="177"/>
      <c r="Q69" s="177"/>
      <c r="R69" s="177"/>
      <c r="S69" s="177"/>
      <c r="T69" s="177"/>
      <c r="U69" s="177"/>
      <c r="V69" s="177"/>
      <c r="W69" s="177"/>
      <c r="X69" s="177"/>
      <c r="Y69" s="177"/>
      <c r="Z69" s="177"/>
      <c r="AA69" s="177"/>
      <c r="AB69" s="177"/>
      <c r="AC69" s="177"/>
      <c r="AD69" s="177"/>
      <c r="AE69" s="177"/>
      <c r="AF69" s="177"/>
      <c r="AG69" s="177"/>
      <c r="AH69" s="177"/>
      <c r="AI69" s="177"/>
      <c r="AJ69" s="177"/>
      <c r="AK69" s="177"/>
      <c r="AL69" s="177"/>
      <c r="AM69" s="177"/>
    </row>
    <row r="70" spans="1:39">
      <c r="A70" s="177"/>
      <c r="B70" s="177"/>
      <c r="C70" s="177"/>
      <c r="D70" s="177"/>
      <c r="E70" s="177"/>
      <c r="F70" s="177"/>
      <c r="G70" s="177"/>
      <c r="H70" s="177"/>
      <c r="I70" s="177"/>
      <c r="J70" s="177"/>
      <c r="K70" s="177"/>
      <c r="L70" s="177"/>
      <c r="M70" s="177"/>
      <c r="N70" s="177"/>
      <c r="O70" s="177"/>
      <c r="P70" s="177"/>
      <c r="Q70" s="177"/>
      <c r="R70" s="177"/>
      <c r="S70" s="177"/>
      <c r="T70" s="177"/>
      <c r="U70" s="177"/>
      <c r="V70" s="177"/>
      <c r="W70" s="177"/>
      <c r="X70" s="177"/>
      <c r="Y70" s="177"/>
      <c r="Z70" s="177"/>
      <c r="AA70" s="177"/>
      <c r="AB70" s="177"/>
      <c r="AC70" s="177"/>
      <c r="AD70" s="177"/>
      <c r="AE70" s="177"/>
      <c r="AF70" s="177"/>
      <c r="AG70" s="177"/>
      <c r="AH70" s="177"/>
      <c r="AI70" s="177"/>
      <c r="AJ70" s="177"/>
      <c r="AK70" s="177"/>
      <c r="AL70" s="177"/>
      <c r="AM70" s="177"/>
    </row>
    <row r="71" spans="1:39">
      <c r="A71" s="177"/>
      <c r="B71" s="177"/>
      <c r="C71" s="177"/>
      <c r="D71" s="177"/>
      <c r="E71" s="177"/>
      <c r="F71" s="177"/>
      <c r="G71" s="177"/>
      <c r="H71" s="177"/>
      <c r="I71" s="177"/>
      <c r="J71" s="177"/>
      <c r="K71" s="177"/>
      <c r="L71" s="177"/>
      <c r="M71" s="177"/>
      <c r="N71" s="177"/>
      <c r="O71" s="177"/>
      <c r="P71" s="177"/>
      <c r="Q71" s="177"/>
      <c r="R71" s="177"/>
      <c r="S71" s="177"/>
      <c r="T71" s="177"/>
      <c r="U71" s="177"/>
      <c r="V71" s="177"/>
      <c r="W71" s="177"/>
      <c r="X71" s="177"/>
      <c r="Y71" s="177"/>
      <c r="Z71" s="177"/>
      <c r="AA71" s="177"/>
      <c r="AB71" s="177"/>
      <c r="AC71" s="177"/>
      <c r="AD71" s="177"/>
      <c r="AE71" s="177"/>
      <c r="AF71" s="177"/>
      <c r="AG71" s="177"/>
      <c r="AH71" s="177"/>
      <c r="AI71" s="177"/>
      <c r="AJ71" s="177"/>
      <c r="AK71" s="177"/>
      <c r="AL71" s="177"/>
      <c r="AM71" s="177"/>
    </row>
    <row r="72" spans="1:39">
      <c r="A72" s="177"/>
      <c r="B72" s="177"/>
      <c r="C72" s="177"/>
      <c r="D72" s="177"/>
      <c r="E72" s="177"/>
      <c r="F72" s="177"/>
      <c r="G72" s="177"/>
      <c r="H72" s="177"/>
      <c r="I72" s="177"/>
      <c r="J72" s="177"/>
      <c r="K72" s="177"/>
      <c r="L72" s="177"/>
      <c r="M72" s="177"/>
      <c r="N72" s="177"/>
      <c r="O72" s="177"/>
      <c r="P72" s="177"/>
      <c r="Q72" s="177"/>
      <c r="R72" s="177"/>
      <c r="S72" s="177"/>
      <c r="T72" s="177"/>
      <c r="U72" s="177"/>
      <c r="V72" s="177"/>
      <c r="W72" s="177"/>
      <c r="X72" s="177"/>
      <c r="Y72" s="177"/>
      <c r="Z72" s="177"/>
      <c r="AA72" s="177"/>
      <c r="AB72" s="177"/>
      <c r="AC72" s="177"/>
      <c r="AD72" s="177"/>
      <c r="AE72" s="177"/>
      <c r="AF72" s="177"/>
      <c r="AG72" s="177"/>
      <c r="AH72" s="177"/>
      <c r="AI72" s="177"/>
      <c r="AJ72" s="177"/>
      <c r="AK72" s="177"/>
      <c r="AL72" s="177"/>
      <c r="AM72" s="177"/>
    </row>
    <row r="73" spans="1:39">
      <c r="A73" s="177"/>
      <c r="B73" s="177"/>
      <c r="C73" s="177"/>
      <c r="D73" s="177"/>
      <c r="E73" s="177"/>
      <c r="F73" s="177"/>
      <c r="G73" s="177"/>
      <c r="H73" s="177"/>
      <c r="I73" s="177"/>
      <c r="J73" s="177"/>
      <c r="K73" s="177"/>
      <c r="L73" s="177"/>
      <c r="M73" s="177"/>
      <c r="N73" s="177"/>
      <c r="O73" s="177"/>
      <c r="P73" s="177"/>
      <c r="Q73" s="177"/>
      <c r="R73" s="177"/>
      <c r="S73" s="177"/>
      <c r="T73" s="177"/>
      <c r="U73" s="177"/>
      <c r="V73" s="177"/>
      <c r="W73" s="177"/>
      <c r="X73" s="177"/>
      <c r="Y73" s="177"/>
      <c r="Z73" s="177"/>
      <c r="AA73" s="177"/>
      <c r="AB73" s="177"/>
      <c r="AC73" s="177"/>
      <c r="AD73" s="177"/>
      <c r="AE73" s="177"/>
      <c r="AF73" s="177"/>
      <c r="AG73" s="177"/>
      <c r="AH73" s="177"/>
      <c r="AI73" s="177"/>
      <c r="AJ73" s="177"/>
      <c r="AK73" s="177"/>
      <c r="AL73" s="177"/>
      <c r="AM73" s="177"/>
    </row>
    <row r="74" spans="1:39">
      <c r="A74" s="177"/>
      <c r="B74" s="177"/>
      <c r="C74" s="177"/>
      <c r="D74" s="177"/>
      <c r="E74" s="177"/>
      <c r="F74" s="177"/>
      <c r="G74" s="177"/>
      <c r="H74" s="177"/>
      <c r="I74" s="177"/>
      <c r="J74" s="177"/>
      <c r="K74" s="177"/>
      <c r="L74" s="177"/>
      <c r="M74" s="177"/>
      <c r="N74" s="177"/>
      <c r="O74" s="177"/>
      <c r="P74" s="177"/>
      <c r="Q74" s="177"/>
      <c r="R74" s="177"/>
      <c r="S74" s="177"/>
      <c r="T74" s="177"/>
      <c r="U74" s="177"/>
      <c r="V74" s="177"/>
      <c r="W74" s="177"/>
      <c r="X74" s="177"/>
      <c r="Y74" s="177"/>
      <c r="Z74" s="177"/>
      <c r="AA74" s="177"/>
      <c r="AB74" s="177"/>
      <c r="AC74" s="177"/>
      <c r="AD74" s="177"/>
      <c r="AE74" s="177"/>
      <c r="AF74" s="177"/>
      <c r="AG74" s="177"/>
      <c r="AH74" s="177"/>
      <c r="AI74" s="177"/>
      <c r="AJ74" s="177"/>
      <c r="AK74" s="177"/>
      <c r="AL74" s="177"/>
      <c r="AM74" s="177"/>
    </row>
    <row r="75" spans="1:39">
      <c r="A75" s="177"/>
      <c r="B75" s="177"/>
      <c r="C75" s="177"/>
      <c r="D75" s="177"/>
      <c r="E75" s="177"/>
      <c r="F75" s="177"/>
      <c r="G75" s="177"/>
      <c r="H75" s="177"/>
      <c r="I75" s="177"/>
      <c r="J75" s="177"/>
      <c r="K75" s="177"/>
      <c r="L75" s="177"/>
      <c r="M75" s="177"/>
      <c r="N75" s="177"/>
      <c r="O75" s="177"/>
      <c r="P75" s="177"/>
      <c r="Q75" s="177"/>
      <c r="R75" s="177"/>
      <c r="S75" s="177"/>
      <c r="T75" s="177"/>
      <c r="U75" s="177"/>
      <c r="V75" s="177"/>
      <c r="W75" s="177"/>
      <c r="X75" s="177"/>
      <c r="Y75" s="177"/>
      <c r="Z75" s="177"/>
      <c r="AA75" s="177"/>
      <c r="AB75" s="177"/>
      <c r="AC75" s="177"/>
      <c r="AD75" s="177"/>
      <c r="AE75" s="177"/>
      <c r="AF75" s="177"/>
      <c r="AG75" s="177"/>
      <c r="AH75" s="177"/>
      <c r="AI75" s="177"/>
      <c r="AJ75" s="177"/>
      <c r="AK75" s="177"/>
      <c r="AL75" s="177"/>
      <c r="AM75" s="177"/>
    </row>
    <row r="76" spans="1:39">
      <c r="A76" s="177"/>
      <c r="B76" s="177"/>
      <c r="C76" s="177"/>
      <c r="D76" s="177"/>
      <c r="E76" s="177"/>
      <c r="F76" s="177"/>
      <c r="G76" s="177"/>
      <c r="H76" s="177"/>
      <c r="I76" s="177"/>
      <c r="J76" s="177"/>
      <c r="K76" s="177"/>
      <c r="L76" s="177"/>
      <c r="M76" s="177"/>
      <c r="N76" s="177"/>
      <c r="O76" s="177"/>
      <c r="P76" s="177"/>
      <c r="Q76" s="177"/>
      <c r="R76" s="177"/>
      <c r="S76" s="177"/>
      <c r="T76" s="177"/>
      <c r="U76" s="177"/>
      <c r="V76" s="177"/>
      <c r="W76" s="177"/>
      <c r="X76" s="177"/>
      <c r="Y76" s="177"/>
      <c r="Z76" s="177"/>
      <c r="AA76" s="177"/>
      <c r="AB76" s="177"/>
      <c r="AC76" s="177"/>
      <c r="AD76" s="177"/>
      <c r="AE76" s="177"/>
      <c r="AF76" s="177"/>
      <c r="AG76" s="177"/>
      <c r="AH76" s="177"/>
      <c r="AI76" s="177"/>
      <c r="AJ76" s="177"/>
      <c r="AK76" s="177"/>
      <c r="AL76" s="177"/>
      <c r="AM76" s="177"/>
    </row>
    <row r="77" spans="1:39">
      <c r="A77" s="177"/>
      <c r="B77" s="177"/>
      <c r="C77" s="177"/>
      <c r="D77" s="177"/>
      <c r="E77" s="177"/>
      <c r="F77" s="177"/>
      <c r="G77" s="177"/>
      <c r="H77" s="177"/>
      <c r="I77" s="177"/>
      <c r="J77" s="177"/>
      <c r="K77" s="177"/>
      <c r="L77" s="177"/>
      <c r="M77" s="177"/>
      <c r="N77" s="177"/>
      <c r="O77" s="177"/>
      <c r="P77" s="177"/>
      <c r="Q77" s="177"/>
      <c r="R77" s="177"/>
      <c r="S77" s="177"/>
      <c r="T77" s="177"/>
      <c r="U77" s="177"/>
      <c r="V77" s="177"/>
      <c r="W77" s="177"/>
      <c r="X77" s="177"/>
      <c r="Y77" s="177"/>
      <c r="Z77" s="177"/>
      <c r="AA77" s="177"/>
      <c r="AB77" s="177"/>
      <c r="AC77" s="177"/>
      <c r="AD77" s="177"/>
      <c r="AE77" s="177"/>
      <c r="AF77" s="177"/>
      <c r="AG77" s="177"/>
      <c r="AH77" s="177"/>
      <c r="AI77" s="177"/>
      <c r="AJ77" s="177"/>
      <c r="AK77" s="177"/>
      <c r="AL77" s="177"/>
      <c r="AM77" s="177"/>
    </row>
    <row r="78" spans="1:39">
      <c r="A78" s="177"/>
      <c r="B78" s="177"/>
      <c r="C78" s="177"/>
      <c r="D78" s="177"/>
      <c r="E78" s="177"/>
      <c r="F78" s="177"/>
      <c r="G78" s="177"/>
      <c r="H78" s="177"/>
      <c r="I78" s="177"/>
      <c r="J78" s="177"/>
      <c r="K78" s="177"/>
      <c r="L78" s="177"/>
      <c r="M78" s="177"/>
      <c r="N78" s="177"/>
      <c r="O78" s="177"/>
      <c r="P78" s="177"/>
      <c r="Q78" s="177"/>
      <c r="R78" s="177"/>
      <c r="S78" s="177"/>
      <c r="T78" s="177"/>
      <c r="U78" s="177"/>
      <c r="V78" s="177"/>
      <c r="W78" s="177"/>
      <c r="X78" s="177"/>
      <c r="Y78" s="177"/>
      <c r="Z78" s="177"/>
      <c r="AA78" s="177"/>
      <c r="AB78" s="177"/>
      <c r="AC78" s="177"/>
      <c r="AD78" s="177"/>
      <c r="AE78" s="177"/>
      <c r="AF78" s="177"/>
      <c r="AG78" s="177"/>
      <c r="AH78" s="177"/>
      <c r="AI78" s="177"/>
      <c r="AJ78" s="177"/>
      <c r="AK78" s="177"/>
      <c r="AL78" s="177"/>
      <c r="AM78" s="177"/>
    </row>
    <row r="79" spans="1:39">
      <c r="A79" s="177"/>
      <c r="B79" s="177"/>
      <c r="C79" s="177"/>
      <c r="D79" s="177"/>
      <c r="E79" s="177"/>
      <c r="F79" s="177"/>
      <c r="G79" s="177"/>
      <c r="H79" s="177"/>
      <c r="I79" s="177"/>
      <c r="J79" s="177"/>
      <c r="K79" s="177"/>
      <c r="L79" s="177"/>
      <c r="M79" s="177"/>
      <c r="N79" s="177"/>
      <c r="O79" s="177"/>
      <c r="P79" s="177"/>
      <c r="Q79" s="177"/>
      <c r="R79" s="177"/>
      <c r="S79" s="177"/>
      <c r="T79" s="177"/>
      <c r="U79" s="177"/>
      <c r="V79" s="177"/>
      <c r="W79" s="177"/>
      <c r="X79" s="177"/>
      <c r="Y79" s="177"/>
      <c r="Z79" s="177"/>
      <c r="AA79" s="177"/>
      <c r="AB79" s="177"/>
      <c r="AC79" s="177"/>
      <c r="AD79" s="177"/>
      <c r="AE79" s="177"/>
      <c r="AF79" s="177"/>
      <c r="AG79" s="177"/>
      <c r="AH79" s="177"/>
      <c r="AI79" s="177"/>
      <c r="AJ79" s="177"/>
      <c r="AK79" s="177"/>
      <c r="AL79" s="177"/>
      <c r="AM79" s="177"/>
    </row>
    <row r="80" spans="1:39">
      <c r="A80" s="177"/>
      <c r="B80" s="177"/>
      <c r="C80" s="177"/>
      <c r="D80" s="177"/>
      <c r="E80" s="177"/>
      <c r="F80" s="177"/>
      <c r="G80" s="177"/>
      <c r="H80" s="177"/>
      <c r="I80" s="177"/>
      <c r="J80" s="177"/>
      <c r="K80" s="177"/>
      <c r="L80" s="177"/>
      <c r="M80" s="177"/>
      <c r="N80" s="177"/>
      <c r="O80" s="177"/>
      <c r="P80" s="177"/>
      <c r="Q80" s="177"/>
      <c r="R80" s="177"/>
      <c r="S80" s="177"/>
      <c r="T80" s="177"/>
      <c r="U80" s="177"/>
      <c r="V80" s="177"/>
      <c r="W80" s="177"/>
      <c r="X80" s="177"/>
      <c r="Y80" s="177"/>
      <c r="Z80" s="177"/>
      <c r="AA80" s="177"/>
      <c r="AB80" s="177"/>
      <c r="AC80" s="177"/>
      <c r="AD80" s="177"/>
      <c r="AE80" s="177"/>
      <c r="AF80" s="177"/>
      <c r="AG80" s="177"/>
      <c r="AH80" s="177"/>
      <c r="AI80" s="177"/>
      <c r="AJ80" s="177"/>
      <c r="AK80" s="177"/>
      <c r="AL80" s="177"/>
      <c r="AM80" s="177"/>
    </row>
    <row r="81" spans="1:39">
      <c r="A81" s="177"/>
      <c r="B81" s="177"/>
      <c r="C81" s="177"/>
      <c r="D81" s="177"/>
      <c r="E81" s="177"/>
      <c r="F81" s="177"/>
      <c r="G81" s="177"/>
      <c r="H81" s="177"/>
      <c r="I81" s="177"/>
      <c r="J81" s="177"/>
      <c r="K81" s="177"/>
      <c r="L81" s="177"/>
      <c r="M81" s="177"/>
      <c r="N81" s="177"/>
      <c r="O81" s="177"/>
      <c r="P81" s="177"/>
      <c r="Q81" s="177"/>
      <c r="R81" s="177"/>
      <c r="S81" s="177"/>
      <c r="T81" s="177"/>
      <c r="U81" s="177"/>
      <c r="V81" s="177"/>
      <c r="W81" s="177"/>
      <c r="X81" s="177"/>
      <c r="Y81" s="177"/>
      <c r="Z81" s="177"/>
      <c r="AA81" s="177"/>
      <c r="AB81" s="177"/>
      <c r="AC81" s="177"/>
      <c r="AD81" s="177"/>
      <c r="AE81" s="177"/>
      <c r="AF81" s="177"/>
      <c r="AG81" s="177"/>
      <c r="AH81" s="177"/>
      <c r="AI81" s="177"/>
      <c r="AJ81" s="177"/>
      <c r="AK81" s="177"/>
      <c r="AL81" s="177"/>
      <c r="AM81" s="177"/>
    </row>
    <row r="82" spans="1:39">
      <c r="A82" s="177"/>
      <c r="B82" s="177"/>
      <c r="C82" s="177"/>
      <c r="D82" s="177"/>
      <c r="E82" s="177"/>
      <c r="F82" s="177"/>
      <c r="G82" s="177"/>
      <c r="H82" s="177"/>
      <c r="I82" s="177"/>
      <c r="J82" s="177"/>
      <c r="K82" s="177"/>
      <c r="L82" s="177"/>
      <c r="M82" s="177"/>
      <c r="N82" s="177"/>
      <c r="O82" s="177"/>
      <c r="P82" s="177"/>
      <c r="Q82" s="177"/>
      <c r="R82" s="177"/>
      <c r="S82" s="177"/>
      <c r="T82" s="177"/>
      <c r="U82" s="177"/>
      <c r="V82" s="177"/>
      <c r="W82" s="177"/>
      <c r="X82" s="177"/>
      <c r="Y82" s="177"/>
      <c r="Z82" s="177"/>
      <c r="AA82" s="177"/>
      <c r="AB82" s="177"/>
      <c r="AC82" s="177"/>
      <c r="AD82" s="177"/>
      <c r="AE82" s="177"/>
      <c r="AF82" s="177"/>
      <c r="AG82" s="177"/>
      <c r="AH82" s="177"/>
      <c r="AI82" s="177"/>
      <c r="AJ82" s="177"/>
      <c r="AK82" s="177"/>
      <c r="AL82" s="177"/>
      <c r="AM82" s="177"/>
    </row>
    <row r="83" spans="1:39">
      <c r="A83" s="177"/>
      <c r="B83" s="177"/>
      <c r="C83" s="177"/>
      <c r="D83" s="177"/>
      <c r="E83" s="177"/>
      <c r="F83" s="177"/>
      <c r="G83" s="177"/>
      <c r="H83" s="177"/>
      <c r="I83" s="177"/>
      <c r="J83" s="177"/>
      <c r="K83" s="177"/>
      <c r="L83" s="177"/>
      <c r="M83" s="177"/>
      <c r="N83" s="177"/>
      <c r="O83" s="177"/>
      <c r="P83" s="177"/>
      <c r="Q83" s="177"/>
      <c r="R83" s="177"/>
      <c r="S83" s="177"/>
      <c r="T83" s="177"/>
      <c r="U83" s="177"/>
      <c r="V83" s="177"/>
      <c r="W83" s="177"/>
      <c r="X83" s="177"/>
      <c r="Y83" s="177"/>
      <c r="Z83" s="177"/>
      <c r="AA83" s="177"/>
      <c r="AB83" s="177"/>
      <c r="AC83" s="177"/>
      <c r="AD83" s="177"/>
      <c r="AE83" s="177"/>
      <c r="AF83" s="177"/>
      <c r="AG83" s="177"/>
      <c r="AH83" s="177"/>
      <c r="AI83" s="177"/>
      <c r="AJ83" s="177"/>
      <c r="AK83" s="177"/>
      <c r="AL83" s="177"/>
      <c r="AM83" s="177"/>
    </row>
    <row r="84" spans="1:39">
      <c r="A84" s="177"/>
      <c r="B84" s="177"/>
      <c r="C84" s="177"/>
      <c r="D84" s="177"/>
      <c r="E84" s="177"/>
      <c r="F84" s="177"/>
      <c r="G84" s="177"/>
      <c r="H84" s="177"/>
      <c r="I84" s="177"/>
      <c r="J84" s="177"/>
      <c r="K84" s="177"/>
      <c r="L84" s="177"/>
      <c r="M84" s="177"/>
      <c r="N84" s="177"/>
      <c r="O84" s="177"/>
      <c r="P84" s="177"/>
      <c r="Q84" s="177"/>
      <c r="R84" s="177"/>
      <c r="S84" s="177"/>
      <c r="T84" s="177"/>
      <c r="U84" s="177"/>
      <c r="V84" s="177"/>
      <c r="W84" s="177"/>
      <c r="X84" s="177"/>
      <c r="Y84" s="177"/>
      <c r="Z84" s="177"/>
      <c r="AA84" s="177"/>
      <c r="AB84" s="177"/>
      <c r="AC84" s="177"/>
      <c r="AD84" s="177"/>
      <c r="AE84" s="177"/>
      <c r="AF84" s="177"/>
      <c r="AG84" s="177"/>
      <c r="AH84" s="177"/>
      <c r="AI84" s="177"/>
      <c r="AJ84" s="177"/>
      <c r="AK84" s="177"/>
      <c r="AL84" s="177"/>
      <c r="AM84" s="177"/>
    </row>
    <row r="85" spans="1:39">
      <c r="A85" s="177"/>
      <c r="B85" s="177"/>
      <c r="C85" s="177"/>
      <c r="D85" s="177"/>
      <c r="E85" s="177"/>
      <c r="F85" s="177"/>
      <c r="G85" s="177"/>
      <c r="H85" s="177"/>
      <c r="I85" s="177"/>
      <c r="J85" s="177"/>
      <c r="K85" s="177"/>
      <c r="L85" s="177"/>
      <c r="M85" s="177"/>
      <c r="N85" s="177"/>
      <c r="O85" s="177"/>
      <c r="P85" s="177"/>
      <c r="Q85" s="177"/>
      <c r="R85" s="177"/>
      <c r="S85" s="177"/>
      <c r="T85" s="177"/>
      <c r="U85" s="177"/>
      <c r="V85" s="177"/>
      <c r="W85" s="177"/>
      <c r="X85" s="177"/>
      <c r="Y85" s="177"/>
      <c r="Z85" s="177"/>
      <c r="AA85" s="177"/>
      <c r="AB85" s="177"/>
      <c r="AC85" s="177"/>
      <c r="AD85" s="177"/>
      <c r="AE85" s="177"/>
      <c r="AF85" s="177"/>
      <c r="AG85" s="177"/>
      <c r="AH85" s="177"/>
      <c r="AI85" s="177"/>
      <c r="AJ85" s="177"/>
      <c r="AK85" s="177"/>
      <c r="AL85" s="177"/>
      <c r="AM85" s="177"/>
    </row>
    <row r="86" spans="1:39">
      <c r="A86" s="177"/>
      <c r="B86" s="177"/>
      <c r="C86" s="177"/>
      <c r="D86" s="177"/>
      <c r="E86" s="177"/>
      <c r="F86" s="177"/>
      <c r="G86" s="177"/>
      <c r="H86" s="177"/>
      <c r="I86" s="177"/>
      <c r="J86" s="177"/>
      <c r="K86" s="177"/>
      <c r="L86" s="177"/>
      <c r="M86" s="177"/>
      <c r="N86" s="177"/>
      <c r="O86" s="177"/>
      <c r="P86" s="177"/>
      <c r="Q86" s="177"/>
      <c r="R86" s="177"/>
      <c r="S86" s="177"/>
      <c r="T86" s="177"/>
      <c r="U86" s="177"/>
      <c r="V86" s="177"/>
      <c r="W86" s="177"/>
      <c r="X86" s="177"/>
      <c r="Y86" s="177"/>
      <c r="Z86" s="177"/>
      <c r="AA86" s="177"/>
      <c r="AB86" s="177"/>
      <c r="AC86" s="177"/>
      <c r="AD86" s="177"/>
      <c r="AE86" s="177"/>
      <c r="AF86" s="177"/>
      <c r="AG86" s="177"/>
      <c r="AH86" s="177"/>
      <c r="AI86" s="177"/>
      <c r="AJ86" s="177"/>
      <c r="AK86" s="177"/>
      <c r="AL86" s="177"/>
      <c r="AM86" s="177"/>
    </row>
    <row r="87" spans="1:39">
      <c r="A87" s="177"/>
      <c r="B87" s="177"/>
      <c r="C87" s="177"/>
      <c r="D87" s="177"/>
      <c r="E87" s="177"/>
      <c r="F87" s="177"/>
      <c r="G87" s="177"/>
      <c r="H87" s="177"/>
      <c r="I87" s="177"/>
      <c r="J87" s="177"/>
      <c r="K87" s="177"/>
      <c r="L87" s="177"/>
      <c r="M87" s="177"/>
      <c r="N87" s="177"/>
      <c r="O87" s="177"/>
      <c r="P87" s="177"/>
      <c r="Q87" s="177"/>
      <c r="R87" s="177"/>
      <c r="S87" s="177"/>
      <c r="T87" s="177"/>
      <c r="U87" s="177"/>
      <c r="V87" s="177"/>
      <c r="W87" s="177"/>
      <c r="X87" s="177"/>
      <c r="Y87" s="177"/>
      <c r="Z87" s="177"/>
      <c r="AA87" s="177"/>
      <c r="AB87" s="177"/>
      <c r="AC87" s="177"/>
      <c r="AD87" s="177"/>
      <c r="AE87" s="177"/>
      <c r="AF87" s="177"/>
      <c r="AG87" s="177"/>
      <c r="AH87" s="177"/>
      <c r="AI87" s="177"/>
      <c r="AJ87" s="177"/>
      <c r="AK87" s="177"/>
      <c r="AL87" s="177"/>
      <c r="AM87" s="177"/>
    </row>
    <row r="88" spans="1:39">
      <c r="A88" s="177"/>
      <c r="B88" s="177"/>
      <c r="C88" s="177"/>
      <c r="D88" s="177"/>
      <c r="E88" s="177"/>
      <c r="F88" s="177"/>
      <c r="G88" s="177"/>
      <c r="H88" s="177"/>
      <c r="I88" s="177"/>
      <c r="J88" s="177"/>
      <c r="K88" s="177"/>
      <c r="L88" s="177"/>
      <c r="M88" s="177"/>
      <c r="N88" s="177"/>
      <c r="O88" s="177"/>
      <c r="P88" s="177"/>
      <c r="Q88" s="177"/>
      <c r="R88" s="177"/>
      <c r="S88" s="177"/>
      <c r="T88" s="177"/>
      <c r="U88" s="177"/>
      <c r="V88" s="177"/>
      <c r="W88" s="177"/>
      <c r="X88" s="177"/>
      <c r="Y88" s="177"/>
      <c r="Z88" s="177"/>
      <c r="AA88" s="177"/>
      <c r="AB88" s="177"/>
      <c r="AC88" s="177"/>
      <c r="AD88" s="177"/>
      <c r="AE88" s="177"/>
      <c r="AF88" s="177"/>
      <c r="AG88" s="177"/>
      <c r="AH88" s="177"/>
      <c r="AI88" s="177"/>
      <c r="AJ88" s="177"/>
      <c r="AK88" s="177"/>
      <c r="AL88" s="177"/>
      <c r="AM88" s="177"/>
    </row>
    <row r="89" spans="1:39">
      <c r="A89" s="177"/>
      <c r="B89" s="177"/>
      <c r="C89" s="177"/>
      <c r="D89" s="177"/>
      <c r="E89" s="177"/>
      <c r="F89" s="177"/>
      <c r="G89" s="177"/>
      <c r="H89" s="177"/>
      <c r="I89" s="177"/>
      <c r="J89" s="177"/>
      <c r="K89" s="177"/>
      <c r="L89" s="177"/>
      <c r="M89" s="177"/>
      <c r="N89" s="177"/>
      <c r="O89" s="177"/>
      <c r="P89" s="177"/>
      <c r="Q89" s="177"/>
      <c r="R89" s="177"/>
      <c r="S89" s="177"/>
      <c r="T89" s="177"/>
      <c r="U89" s="177"/>
      <c r="V89" s="177"/>
      <c r="W89" s="177"/>
      <c r="X89" s="177"/>
      <c r="Y89" s="177"/>
      <c r="Z89" s="177"/>
      <c r="AA89" s="177"/>
      <c r="AB89" s="177"/>
      <c r="AC89" s="177"/>
      <c r="AD89" s="177"/>
      <c r="AE89" s="177"/>
      <c r="AF89" s="177"/>
      <c r="AG89" s="177"/>
      <c r="AH89" s="177"/>
      <c r="AI89" s="177"/>
      <c r="AJ89" s="177"/>
      <c r="AK89" s="177"/>
      <c r="AL89" s="177"/>
      <c r="AM89" s="177"/>
    </row>
    <row r="90" spans="1:39">
      <c r="A90" s="177"/>
      <c r="B90" s="177"/>
      <c r="C90" s="177"/>
      <c r="D90" s="177"/>
      <c r="E90" s="177"/>
      <c r="F90" s="177"/>
      <c r="G90" s="177"/>
      <c r="H90" s="177"/>
      <c r="I90" s="177"/>
      <c r="J90" s="177"/>
      <c r="K90" s="177"/>
      <c r="L90" s="177"/>
      <c r="M90" s="177"/>
      <c r="N90" s="177"/>
      <c r="O90" s="177"/>
      <c r="P90" s="177"/>
      <c r="Q90" s="177"/>
      <c r="R90" s="177"/>
      <c r="S90" s="177"/>
      <c r="T90" s="177"/>
      <c r="U90" s="177"/>
      <c r="V90" s="177"/>
      <c r="W90" s="177"/>
      <c r="X90" s="177"/>
      <c r="Y90" s="177"/>
      <c r="Z90" s="177"/>
      <c r="AA90" s="177"/>
      <c r="AB90" s="177"/>
      <c r="AC90" s="177"/>
      <c r="AD90" s="177"/>
      <c r="AE90" s="177"/>
      <c r="AF90" s="177"/>
      <c r="AG90" s="177"/>
      <c r="AH90" s="177"/>
      <c r="AI90" s="177"/>
      <c r="AJ90" s="177"/>
      <c r="AK90" s="177"/>
      <c r="AL90" s="177"/>
      <c r="AM90" s="177"/>
    </row>
    <row r="91" spans="1:39">
      <c r="A91" s="177"/>
      <c r="B91" s="177"/>
      <c r="C91" s="177"/>
      <c r="D91" s="177"/>
      <c r="E91" s="177"/>
      <c r="F91" s="177"/>
      <c r="G91" s="177"/>
      <c r="H91" s="177"/>
      <c r="I91" s="177"/>
      <c r="J91" s="177"/>
      <c r="K91" s="177"/>
      <c r="L91" s="177"/>
      <c r="M91" s="177"/>
      <c r="N91" s="177"/>
      <c r="O91" s="177"/>
      <c r="P91" s="177"/>
      <c r="Q91" s="177"/>
      <c r="R91" s="177"/>
      <c r="S91" s="177"/>
      <c r="T91" s="177"/>
      <c r="U91" s="177"/>
      <c r="V91" s="177"/>
      <c r="W91" s="177"/>
      <c r="X91" s="177"/>
      <c r="Y91" s="177"/>
      <c r="Z91" s="177"/>
      <c r="AA91" s="177"/>
      <c r="AB91" s="177"/>
      <c r="AC91" s="177"/>
      <c r="AD91" s="177"/>
      <c r="AE91" s="177"/>
      <c r="AF91" s="177"/>
      <c r="AG91" s="177"/>
      <c r="AH91" s="177"/>
      <c r="AI91" s="177"/>
      <c r="AJ91" s="177"/>
      <c r="AK91" s="177"/>
      <c r="AL91" s="177"/>
      <c r="AM91" s="177"/>
    </row>
    <row r="92" spans="1:39">
      <c r="A92" s="177"/>
      <c r="B92" s="177"/>
      <c r="C92" s="177"/>
      <c r="D92" s="177"/>
      <c r="E92" s="177"/>
      <c r="F92" s="177"/>
      <c r="G92" s="177"/>
      <c r="H92" s="177"/>
      <c r="I92" s="177"/>
      <c r="J92" s="177"/>
      <c r="K92" s="177"/>
      <c r="L92" s="177"/>
      <c r="M92" s="177"/>
      <c r="N92" s="177"/>
      <c r="O92" s="177"/>
      <c r="P92" s="177"/>
      <c r="Q92" s="177"/>
      <c r="R92" s="177"/>
      <c r="S92" s="177"/>
      <c r="T92" s="177"/>
      <c r="U92" s="177"/>
      <c r="V92" s="177"/>
      <c r="W92" s="177"/>
      <c r="X92" s="177"/>
      <c r="Y92" s="177"/>
      <c r="Z92" s="177"/>
      <c r="AA92" s="177"/>
      <c r="AB92" s="177"/>
      <c r="AC92" s="177"/>
      <c r="AD92" s="177"/>
      <c r="AE92" s="177"/>
      <c r="AF92" s="177"/>
      <c r="AG92" s="177"/>
      <c r="AH92" s="177"/>
      <c r="AI92" s="177"/>
      <c r="AJ92" s="177"/>
      <c r="AK92" s="177"/>
      <c r="AL92" s="177"/>
      <c r="AM92" s="177"/>
    </row>
    <row r="93" spans="1:39">
      <c r="A93" s="177"/>
      <c r="B93" s="177"/>
      <c r="C93" s="177"/>
      <c r="D93" s="177"/>
      <c r="E93" s="177"/>
      <c r="F93" s="177"/>
      <c r="G93" s="177"/>
      <c r="H93" s="177"/>
      <c r="I93" s="177"/>
      <c r="J93" s="177"/>
      <c r="K93" s="177"/>
      <c r="L93" s="177"/>
      <c r="M93" s="177"/>
      <c r="N93" s="177"/>
      <c r="O93" s="177"/>
      <c r="P93" s="177"/>
      <c r="Q93" s="177"/>
      <c r="R93" s="177"/>
      <c r="S93" s="177"/>
      <c r="T93" s="177"/>
      <c r="U93" s="177"/>
      <c r="V93" s="177"/>
      <c r="W93" s="177"/>
      <c r="X93" s="177"/>
      <c r="Y93" s="177"/>
      <c r="Z93" s="177"/>
      <c r="AA93" s="177"/>
      <c r="AB93" s="177"/>
      <c r="AC93" s="177"/>
      <c r="AD93" s="177"/>
      <c r="AE93" s="177"/>
      <c r="AF93" s="177"/>
      <c r="AG93" s="177"/>
      <c r="AH93" s="177"/>
      <c r="AI93" s="177"/>
      <c r="AJ93" s="177"/>
      <c r="AK93" s="177"/>
      <c r="AL93" s="177"/>
      <c r="AM93" s="177"/>
    </row>
    <row r="94" spans="1:39">
      <c r="A94" s="177"/>
      <c r="B94" s="177"/>
      <c r="C94" s="177"/>
      <c r="D94" s="177"/>
      <c r="E94" s="177"/>
      <c r="F94" s="177"/>
      <c r="G94" s="177"/>
      <c r="H94" s="177"/>
      <c r="I94" s="177"/>
      <c r="J94" s="177"/>
      <c r="K94" s="177"/>
      <c r="L94" s="177"/>
      <c r="M94" s="177"/>
      <c r="N94" s="177"/>
      <c r="O94" s="177"/>
      <c r="P94" s="177"/>
      <c r="Q94" s="177"/>
      <c r="R94" s="177"/>
      <c r="S94" s="177"/>
      <c r="T94" s="177"/>
      <c r="U94" s="177"/>
      <c r="V94" s="177"/>
      <c r="W94" s="177"/>
      <c r="X94" s="177"/>
      <c r="Y94" s="177"/>
      <c r="Z94" s="177"/>
      <c r="AA94" s="177"/>
      <c r="AB94" s="177"/>
      <c r="AC94" s="177"/>
      <c r="AD94" s="177"/>
      <c r="AE94" s="177"/>
      <c r="AF94" s="177"/>
      <c r="AG94" s="177"/>
      <c r="AH94" s="177"/>
      <c r="AI94" s="177"/>
      <c r="AJ94" s="177"/>
      <c r="AK94" s="177"/>
      <c r="AL94" s="177"/>
      <c r="AM94" s="177"/>
    </row>
    <row r="95" spans="1:39">
      <c r="A95" s="177"/>
      <c r="B95" s="177"/>
      <c r="C95" s="177"/>
      <c r="D95" s="177"/>
      <c r="E95" s="177"/>
      <c r="F95" s="177"/>
      <c r="G95" s="177"/>
      <c r="H95" s="177"/>
      <c r="I95" s="177"/>
      <c r="J95" s="177"/>
      <c r="K95" s="177"/>
      <c r="L95" s="177"/>
      <c r="M95" s="177"/>
      <c r="N95" s="177"/>
      <c r="O95" s="177"/>
      <c r="P95" s="177"/>
      <c r="Q95" s="177"/>
      <c r="R95" s="177"/>
      <c r="S95" s="177"/>
      <c r="T95" s="177"/>
      <c r="U95" s="177"/>
      <c r="V95" s="177"/>
      <c r="W95" s="177"/>
      <c r="X95" s="177"/>
      <c r="Y95" s="177"/>
      <c r="Z95" s="177"/>
      <c r="AA95" s="177"/>
      <c r="AB95" s="177"/>
      <c r="AC95" s="177"/>
      <c r="AD95" s="177"/>
      <c r="AE95" s="177"/>
      <c r="AF95" s="177"/>
      <c r="AG95" s="177"/>
      <c r="AH95" s="177"/>
      <c r="AI95" s="177"/>
      <c r="AJ95" s="177"/>
      <c r="AK95" s="177"/>
      <c r="AL95" s="177"/>
      <c r="AM95" s="177"/>
    </row>
    <row r="96" spans="1:39">
      <c r="A96" s="177"/>
      <c r="B96" s="177"/>
      <c r="C96" s="177"/>
      <c r="D96" s="177"/>
      <c r="E96" s="177"/>
      <c r="F96" s="177"/>
      <c r="G96" s="177"/>
      <c r="H96" s="177"/>
      <c r="I96" s="177"/>
      <c r="J96" s="177"/>
      <c r="K96" s="177"/>
      <c r="L96" s="177"/>
      <c r="M96" s="177"/>
      <c r="N96" s="177"/>
      <c r="O96" s="177"/>
      <c r="P96" s="177"/>
      <c r="Q96" s="177"/>
      <c r="R96" s="177"/>
      <c r="S96" s="177"/>
      <c r="T96" s="177"/>
      <c r="U96" s="177"/>
      <c r="V96" s="177"/>
      <c r="W96" s="177"/>
      <c r="X96" s="177"/>
      <c r="Y96" s="177"/>
      <c r="Z96" s="177"/>
      <c r="AA96" s="177"/>
      <c r="AB96" s="177"/>
      <c r="AC96" s="177"/>
      <c r="AD96" s="177"/>
      <c r="AE96" s="177"/>
      <c r="AF96" s="177"/>
      <c r="AG96" s="177"/>
      <c r="AH96" s="177"/>
      <c r="AI96" s="177"/>
      <c r="AJ96" s="177"/>
      <c r="AK96" s="177"/>
      <c r="AL96" s="177"/>
      <c r="AM96" s="177"/>
    </row>
    <row r="97" spans="1:39">
      <c r="A97" s="177"/>
      <c r="B97" s="177"/>
      <c r="C97" s="177"/>
      <c r="D97" s="177"/>
      <c r="E97" s="177"/>
      <c r="F97" s="177"/>
      <c r="G97" s="177"/>
      <c r="H97" s="177"/>
      <c r="I97" s="177"/>
      <c r="J97" s="177"/>
      <c r="K97" s="177"/>
      <c r="L97" s="177"/>
      <c r="M97" s="177"/>
      <c r="N97" s="177"/>
      <c r="O97" s="177"/>
      <c r="P97" s="177"/>
      <c r="Q97" s="177"/>
      <c r="R97" s="177"/>
      <c r="S97" s="177"/>
      <c r="T97" s="177"/>
      <c r="U97" s="177"/>
      <c r="V97" s="177"/>
      <c r="W97" s="177"/>
      <c r="X97" s="177"/>
      <c r="Y97" s="177"/>
      <c r="Z97" s="177"/>
      <c r="AA97" s="177"/>
      <c r="AB97" s="177"/>
      <c r="AC97" s="177"/>
      <c r="AD97" s="177"/>
      <c r="AE97" s="177"/>
      <c r="AF97" s="177"/>
      <c r="AG97" s="177"/>
      <c r="AH97" s="177"/>
      <c r="AI97" s="177"/>
      <c r="AJ97" s="177"/>
      <c r="AK97" s="177"/>
      <c r="AL97" s="177"/>
      <c r="AM97" s="177"/>
    </row>
    <row r="98" spans="1:39">
      <c r="A98" s="177"/>
      <c r="B98" s="177"/>
      <c r="C98" s="177"/>
      <c r="D98" s="177"/>
      <c r="E98" s="177"/>
      <c r="F98" s="177"/>
      <c r="G98" s="177"/>
      <c r="H98" s="177"/>
      <c r="I98" s="177"/>
      <c r="J98" s="177"/>
      <c r="K98" s="177"/>
      <c r="L98" s="177"/>
      <c r="M98" s="177"/>
      <c r="N98" s="177"/>
      <c r="O98" s="177"/>
      <c r="P98" s="177"/>
      <c r="Q98" s="177"/>
      <c r="R98" s="177"/>
      <c r="S98" s="177"/>
      <c r="T98" s="177"/>
      <c r="U98" s="177"/>
      <c r="V98" s="177"/>
      <c r="W98" s="177"/>
      <c r="X98" s="177"/>
      <c r="Y98" s="177"/>
      <c r="Z98" s="177"/>
      <c r="AA98" s="177"/>
      <c r="AB98" s="177"/>
      <c r="AC98" s="177"/>
      <c r="AD98" s="177"/>
      <c r="AE98" s="177"/>
      <c r="AF98" s="177"/>
      <c r="AG98" s="177"/>
      <c r="AH98" s="177"/>
      <c r="AI98" s="177"/>
      <c r="AJ98" s="177"/>
      <c r="AK98" s="177"/>
      <c r="AL98" s="177"/>
      <c r="AM98" s="177"/>
    </row>
    <row r="99" spans="1:39">
      <c r="A99" s="177"/>
      <c r="B99" s="177"/>
      <c r="C99" s="177"/>
      <c r="D99" s="177"/>
      <c r="E99" s="177"/>
      <c r="F99" s="177"/>
      <c r="G99" s="177"/>
      <c r="H99" s="177"/>
      <c r="I99" s="177"/>
      <c r="J99" s="177"/>
      <c r="K99" s="177"/>
      <c r="L99" s="177"/>
      <c r="M99" s="177"/>
      <c r="N99" s="177"/>
      <c r="O99" s="177"/>
      <c r="P99" s="177"/>
      <c r="Q99" s="177"/>
      <c r="R99" s="177"/>
      <c r="S99" s="177"/>
      <c r="T99" s="177"/>
      <c r="U99" s="177"/>
      <c r="V99" s="177"/>
      <c r="W99" s="177"/>
      <c r="X99" s="177"/>
      <c r="Y99" s="177"/>
      <c r="Z99" s="177"/>
      <c r="AA99" s="177"/>
      <c r="AB99" s="177"/>
      <c r="AC99" s="177"/>
      <c r="AD99" s="177"/>
      <c r="AE99" s="177"/>
      <c r="AF99" s="177"/>
      <c r="AG99" s="177"/>
      <c r="AH99" s="177"/>
      <c r="AI99" s="177"/>
      <c r="AJ99" s="177"/>
      <c r="AK99" s="177"/>
      <c r="AL99" s="177"/>
      <c r="AM99" s="177"/>
    </row>
    <row r="100" spans="1:39">
      <c r="A100" s="177"/>
      <c r="B100" s="177"/>
      <c r="C100" s="177"/>
      <c r="D100" s="177"/>
      <c r="E100" s="177"/>
      <c r="F100" s="177"/>
      <c r="G100" s="177"/>
      <c r="H100" s="177"/>
      <c r="I100" s="177"/>
      <c r="J100" s="177"/>
      <c r="K100" s="177"/>
      <c r="L100" s="177"/>
      <c r="M100" s="177"/>
      <c r="N100" s="177"/>
      <c r="O100" s="177"/>
      <c r="P100" s="177"/>
      <c r="Q100" s="177"/>
      <c r="R100" s="177"/>
      <c r="S100" s="177"/>
      <c r="T100" s="177"/>
      <c r="U100" s="177"/>
      <c r="V100" s="177"/>
      <c r="W100" s="177"/>
      <c r="X100" s="177"/>
      <c r="Y100" s="177"/>
      <c r="Z100" s="177"/>
      <c r="AA100" s="177"/>
      <c r="AB100" s="177"/>
      <c r="AC100" s="177"/>
      <c r="AD100" s="177"/>
      <c r="AE100" s="177"/>
      <c r="AF100" s="177"/>
      <c r="AG100" s="177"/>
      <c r="AH100" s="177"/>
      <c r="AI100" s="177"/>
      <c r="AJ100" s="177"/>
      <c r="AK100" s="177"/>
      <c r="AL100" s="177"/>
      <c r="AM100" s="177"/>
    </row>
    <row r="101" spans="1:39">
      <c r="A101" s="177"/>
      <c r="B101" s="177"/>
      <c r="C101" s="177"/>
      <c r="D101" s="177"/>
      <c r="E101" s="177"/>
      <c r="F101" s="177"/>
      <c r="G101" s="177"/>
      <c r="H101" s="177"/>
      <c r="I101" s="177"/>
      <c r="J101" s="177"/>
      <c r="K101" s="177"/>
      <c r="L101" s="177"/>
      <c r="M101" s="177"/>
      <c r="N101" s="177"/>
      <c r="O101" s="177"/>
      <c r="P101" s="177"/>
      <c r="Q101" s="177"/>
      <c r="R101" s="177"/>
      <c r="S101" s="177"/>
      <c r="T101" s="177"/>
      <c r="U101" s="177"/>
      <c r="V101" s="177"/>
      <c r="W101" s="177"/>
      <c r="X101" s="177"/>
      <c r="Y101" s="177"/>
      <c r="Z101" s="177"/>
      <c r="AA101" s="177"/>
      <c r="AB101" s="177"/>
      <c r="AC101" s="177"/>
      <c r="AD101" s="177"/>
      <c r="AE101" s="177"/>
      <c r="AF101" s="177"/>
      <c r="AG101" s="177"/>
      <c r="AH101" s="177"/>
      <c r="AI101" s="177"/>
      <c r="AJ101" s="177"/>
      <c r="AK101" s="177"/>
      <c r="AL101" s="177"/>
      <c r="AM101" s="177"/>
    </row>
    <row r="102" spans="1:39">
      <c r="A102" s="177"/>
      <c r="B102" s="177"/>
      <c r="C102" s="177"/>
      <c r="D102" s="177"/>
      <c r="E102" s="177"/>
      <c r="F102" s="177"/>
      <c r="G102" s="177"/>
      <c r="H102" s="177"/>
      <c r="I102" s="177"/>
      <c r="J102" s="177"/>
      <c r="K102" s="177"/>
      <c r="L102" s="177"/>
      <c r="M102" s="177"/>
      <c r="N102" s="177"/>
      <c r="O102" s="177"/>
      <c r="P102" s="177"/>
      <c r="Q102" s="177"/>
      <c r="R102" s="177"/>
      <c r="S102" s="177"/>
      <c r="T102" s="177"/>
      <c r="U102" s="177"/>
      <c r="V102" s="177"/>
      <c r="W102" s="177"/>
      <c r="X102" s="177"/>
      <c r="Y102" s="177"/>
      <c r="Z102" s="177"/>
      <c r="AA102" s="177"/>
      <c r="AB102" s="177"/>
      <c r="AC102" s="177"/>
      <c r="AD102" s="177"/>
      <c r="AE102" s="177"/>
      <c r="AF102" s="177"/>
      <c r="AG102" s="177"/>
      <c r="AH102" s="177"/>
      <c r="AI102" s="177"/>
      <c r="AJ102" s="177"/>
      <c r="AK102" s="177"/>
      <c r="AL102" s="177"/>
      <c r="AM102" s="177"/>
    </row>
    <row r="103" spans="1:39">
      <c r="A103" s="177"/>
      <c r="B103" s="177"/>
      <c r="C103" s="177"/>
      <c r="D103" s="177"/>
      <c r="E103" s="177"/>
      <c r="F103" s="177"/>
      <c r="G103" s="177"/>
      <c r="H103" s="177"/>
      <c r="I103" s="177"/>
      <c r="J103" s="177"/>
      <c r="K103" s="177"/>
      <c r="L103" s="177"/>
      <c r="M103" s="177"/>
      <c r="N103" s="177"/>
      <c r="O103" s="177"/>
      <c r="P103" s="177"/>
      <c r="Q103" s="177"/>
      <c r="R103" s="177"/>
      <c r="S103" s="177"/>
      <c r="T103" s="177"/>
      <c r="U103" s="177"/>
      <c r="V103" s="177"/>
      <c r="W103" s="177"/>
      <c r="X103" s="177"/>
      <c r="Y103" s="177"/>
      <c r="Z103" s="177"/>
      <c r="AA103" s="177"/>
      <c r="AB103" s="177"/>
      <c r="AC103" s="177"/>
      <c r="AD103" s="177"/>
      <c r="AE103" s="177"/>
      <c r="AF103" s="177"/>
      <c r="AG103" s="177"/>
      <c r="AH103" s="177"/>
      <c r="AI103" s="177"/>
      <c r="AJ103" s="177"/>
      <c r="AK103" s="177"/>
      <c r="AL103" s="177"/>
      <c r="AM103" s="177"/>
    </row>
    <row r="104" spans="1:39">
      <c r="A104" s="177"/>
      <c r="B104" s="177"/>
      <c r="C104" s="177"/>
      <c r="D104" s="177"/>
      <c r="E104" s="177"/>
      <c r="F104" s="177"/>
      <c r="G104" s="177"/>
      <c r="H104" s="177"/>
      <c r="I104" s="177"/>
      <c r="J104" s="177"/>
      <c r="K104" s="177"/>
      <c r="L104" s="177"/>
      <c r="M104" s="177"/>
      <c r="N104" s="177"/>
      <c r="O104" s="177"/>
      <c r="P104" s="177"/>
      <c r="Q104" s="177"/>
      <c r="R104" s="177"/>
      <c r="S104" s="177"/>
      <c r="T104" s="177"/>
      <c r="U104" s="177"/>
      <c r="V104" s="177"/>
      <c r="W104" s="177"/>
      <c r="X104" s="177"/>
      <c r="Y104" s="177"/>
      <c r="Z104" s="177"/>
      <c r="AA104" s="177"/>
      <c r="AB104" s="177"/>
      <c r="AC104" s="177"/>
      <c r="AD104" s="177"/>
      <c r="AE104" s="177"/>
      <c r="AF104" s="177"/>
      <c r="AG104" s="177"/>
      <c r="AH104" s="177"/>
      <c r="AI104" s="177"/>
      <c r="AJ104" s="177"/>
      <c r="AK104" s="177"/>
      <c r="AL104" s="177"/>
      <c r="AM104" s="177"/>
    </row>
    <row r="105" spans="1:39">
      <c r="A105" s="177"/>
      <c r="B105" s="177"/>
      <c r="C105" s="177"/>
      <c r="D105" s="177"/>
      <c r="E105" s="177"/>
      <c r="F105" s="177"/>
      <c r="G105" s="177"/>
      <c r="H105" s="177"/>
      <c r="I105" s="177"/>
      <c r="J105" s="177"/>
      <c r="K105" s="177"/>
      <c r="L105" s="177"/>
      <c r="M105" s="177"/>
      <c r="N105" s="177"/>
      <c r="O105" s="177"/>
      <c r="P105" s="177"/>
      <c r="Q105" s="177"/>
      <c r="R105" s="177"/>
      <c r="S105" s="177"/>
      <c r="T105" s="177"/>
      <c r="U105" s="177"/>
      <c r="V105" s="177"/>
      <c r="W105" s="177"/>
      <c r="X105" s="177"/>
      <c r="Y105" s="177"/>
      <c r="Z105" s="177"/>
      <c r="AA105" s="177"/>
      <c r="AB105" s="177"/>
      <c r="AC105" s="177"/>
      <c r="AD105" s="177"/>
      <c r="AE105" s="177"/>
      <c r="AF105" s="177"/>
      <c r="AG105" s="177"/>
      <c r="AH105" s="177"/>
      <c r="AI105" s="177"/>
      <c r="AJ105" s="177"/>
      <c r="AK105" s="177"/>
      <c r="AL105" s="177"/>
      <c r="AM105" s="177"/>
    </row>
    <row r="106" spans="1:39">
      <c r="A106" s="177"/>
      <c r="B106" s="177"/>
      <c r="C106" s="177"/>
      <c r="D106" s="177"/>
      <c r="E106" s="177"/>
      <c r="F106" s="177"/>
      <c r="G106" s="177"/>
      <c r="H106" s="177"/>
      <c r="I106" s="177"/>
      <c r="J106" s="177"/>
      <c r="K106" s="177"/>
      <c r="L106" s="177"/>
      <c r="M106" s="177"/>
      <c r="N106" s="177"/>
      <c r="O106" s="177"/>
      <c r="P106" s="177"/>
      <c r="Q106" s="177"/>
      <c r="R106" s="177"/>
      <c r="S106" s="177"/>
      <c r="T106" s="177"/>
      <c r="U106" s="177"/>
      <c r="V106" s="177"/>
      <c r="W106" s="177"/>
      <c r="X106" s="177"/>
      <c r="Y106" s="177"/>
      <c r="Z106" s="177"/>
      <c r="AA106" s="177"/>
      <c r="AB106" s="177"/>
      <c r="AC106" s="177"/>
      <c r="AD106" s="177"/>
      <c r="AE106" s="177"/>
      <c r="AF106" s="177"/>
      <c r="AG106" s="177"/>
      <c r="AH106" s="177"/>
      <c r="AI106" s="177"/>
      <c r="AJ106" s="177"/>
      <c r="AK106" s="177"/>
      <c r="AL106" s="177"/>
      <c r="AM106" s="177"/>
    </row>
    <row r="107" spans="1:39">
      <c r="A107" s="177"/>
      <c r="B107" s="177"/>
      <c r="C107" s="177"/>
      <c r="D107" s="177"/>
      <c r="E107" s="177"/>
      <c r="F107" s="177"/>
      <c r="G107" s="177"/>
      <c r="H107" s="177"/>
      <c r="I107" s="177"/>
      <c r="J107" s="177"/>
      <c r="K107" s="177"/>
      <c r="L107" s="177"/>
      <c r="M107" s="177"/>
      <c r="N107" s="177"/>
      <c r="O107" s="177"/>
      <c r="P107" s="177"/>
      <c r="Q107" s="177"/>
      <c r="R107" s="177"/>
      <c r="S107" s="177"/>
      <c r="T107" s="177"/>
      <c r="U107" s="177"/>
      <c r="V107" s="177"/>
      <c r="W107" s="177"/>
      <c r="X107" s="177"/>
      <c r="Y107" s="177"/>
      <c r="Z107" s="177"/>
      <c r="AA107" s="177"/>
      <c r="AB107" s="177"/>
      <c r="AC107" s="177"/>
      <c r="AD107" s="177"/>
      <c r="AE107" s="177"/>
      <c r="AF107" s="177"/>
      <c r="AG107" s="177"/>
      <c r="AH107" s="177"/>
      <c r="AI107" s="177"/>
      <c r="AJ107" s="177"/>
      <c r="AK107" s="177"/>
      <c r="AL107" s="177"/>
      <c r="AM107" s="177"/>
    </row>
    <row r="108" spans="1:39">
      <c r="A108" s="177"/>
      <c r="B108" s="177"/>
      <c r="C108" s="177"/>
      <c r="D108" s="177"/>
      <c r="E108" s="177"/>
      <c r="F108" s="177"/>
      <c r="G108" s="177"/>
      <c r="H108" s="177"/>
      <c r="I108" s="177"/>
      <c r="J108" s="177"/>
      <c r="K108" s="177"/>
      <c r="L108" s="177"/>
      <c r="M108" s="177"/>
      <c r="N108" s="177"/>
      <c r="O108" s="177"/>
      <c r="P108" s="177"/>
      <c r="Q108" s="177"/>
      <c r="R108" s="177"/>
      <c r="S108" s="177"/>
      <c r="T108" s="177"/>
      <c r="U108" s="177"/>
      <c r="V108" s="177"/>
      <c r="W108" s="177"/>
      <c r="X108" s="177"/>
      <c r="Y108" s="177"/>
      <c r="Z108" s="177"/>
      <c r="AA108" s="177"/>
      <c r="AB108" s="177"/>
      <c r="AC108" s="177"/>
      <c r="AD108" s="177"/>
      <c r="AE108" s="177"/>
      <c r="AF108" s="177"/>
      <c r="AG108" s="177"/>
      <c r="AH108" s="177"/>
      <c r="AI108" s="177"/>
      <c r="AJ108" s="177"/>
      <c r="AK108" s="177"/>
      <c r="AL108" s="177"/>
      <c r="AM108" s="177"/>
    </row>
    <row r="109" spans="1:39">
      <c r="A109" s="177"/>
      <c r="B109" s="177"/>
      <c r="C109" s="177"/>
      <c r="D109" s="177"/>
      <c r="E109" s="177"/>
      <c r="F109" s="177"/>
      <c r="G109" s="177"/>
      <c r="H109" s="177"/>
      <c r="I109" s="177"/>
      <c r="J109" s="177"/>
      <c r="K109" s="177"/>
      <c r="L109" s="177"/>
      <c r="M109" s="177"/>
      <c r="N109" s="177"/>
      <c r="O109" s="177"/>
      <c r="P109" s="177"/>
      <c r="Q109" s="177"/>
      <c r="R109" s="177"/>
      <c r="S109" s="177"/>
      <c r="T109" s="177"/>
      <c r="U109" s="177"/>
      <c r="V109" s="177"/>
      <c r="W109" s="177"/>
      <c r="X109" s="177"/>
      <c r="Y109" s="177"/>
      <c r="Z109" s="177"/>
      <c r="AA109" s="177"/>
      <c r="AB109" s="177"/>
      <c r="AC109" s="177"/>
      <c r="AD109" s="177"/>
      <c r="AE109" s="177"/>
      <c r="AF109" s="177"/>
      <c r="AG109" s="177"/>
      <c r="AH109" s="177"/>
      <c r="AI109" s="177"/>
      <c r="AJ109" s="177"/>
      <c r="AK109" s="177"/>
      <c r="AL109" s="177"/>
      <c r="AM109" s="177"/>
    </row>
    <row r="110" spans="1:39">
      <c r="A110" s="177"/>
      <c r="B110" s="177"/>
      <c r="C110" s="177"/>
      <c r="D110" s="177"/>
      <c r="E110" s="177"/>
      <c r="F110" s="177"/>
      <c r="G110" s="177"/>
      <c r="H110" s="177"/>
      <c r="I110" s="177"/>
      <c r="J110" s="177"/>
      <c r="K110" s="177"/>
      <c r="L110" s="177"/>
      <c r="M110" s="177"/>
      <c r="N110" s="177"/>
      <c r="O110" s="177"/>
      <c r="P110" s="177"/>
      <c r="Q110" s="177"/>
      <c r="R110" s="177"/>
      <c r="S110" s="177"/>
      <c r="T110" s="177"/>
      <c r="U110" s="177"/>
      <c r="V110" s="177"/>
      <c r="W110" s="177"/>
      <c r="X110" s="177"/>
      <c r="Y110" s="177"/>
      <c r="Z110" s="177"/>
      <c r="AA110" s="177"/>
      <c r="AB110" s="177"/>
      <c r="AC110" s="177"/>
      <c r="AD110" s="177"/>
      <c r="AE110" s="177"/>
      <c r="AF110" s="177"/>
      <c r="AG110" s="177"/>
      <c r="AH110" s="177"/>
      <c r="AI110" s="177"/>
      <c r="AJ110" s="177"/>
      <c r="AK110" s="177"/>
      <c r="AL110" s="177"/>
      <c r="AM110" s="177"/>
    </row>
    <row r="111" spans="1:39">
      <c r="A111" s="177"/>
      <c r="B111" s="177"/>
      <c r="C111" s="177"/>
      <c r="D111" s="177"/>
      <c r="E111" s="177"/>
      <c r="F111" s="177"/>
      <c r="G111" s="177"/>
      <c r="H111" s="177"/>
      <c r="I111" s="177"/>
      <c r="J111" s="177"/>
      <c r="K111" s="177"/>
      <c r="L111" s="177"/>
      <c r="M111" s="177"/>
      <c r="N111" s="177"/>
      <c r="O111" s="177"/>
      <c r="P111" s="177"/>
      <c r="Q111" s="177"/>
      <c r="R111" s="177"/>
      <c r="S111" s="177"/>
      <c r="T111" s="177"/>
      <c r="U111" s="177"/>
      <c r="V111" s="177"/>
      <c r="W111" s="177"/>
      <c r="X111" s="177"/>
      <c r="Y111" s="177"/>
      <c r="Z111" s="177"/>
      <c r="AA111" s="177"/>
      <c r="AB111" s="177"/>
      <c r="AC111" s="177"/>
      <c r="AD111" s="177"/>
      <c r="AE111" s="177"/>
      <c r="AF111" s="177"/>
      <c r="AG111" s="177"/>
      <c r="AH111" s="177"/>
      <c r="AI111" s="177"/>
      <c r="AJ111" s="177"/>
      <c r="AK111" s="177"/>
      <c r="AL111" s="177"/>
      <c r="AM111" s="177"/>
    </row>
    <row r="112" spans="1:39">
      <c r="A112" s="177"/>
      <c r="B112" s="177"/>
      <c r="C112" s="177"/>
      <c r="D112" s="177"/>
      <c r="E112" s="177"/>
      <c r="F112" s="177"/>
      <c r="G112" s="177"/>
      <c r="H112" s="177"/>
      <c r="I112" s="177"/>
      <c r="J112" s="177"/>
      <c r="K112" s="177"/>
      <c r="L112" s="177"/>
      <c r="M112" s="177"/>
      <c r="N112" s="177"/>
      <c r="O112" s="177"/>
      <c r="P112" s="177"/>
      <c r="Q112" s="177"/>
      <c r="R112" s="177"/>
      <c r="S112" s="177"/>
      <c r="T112" s="177"/>
      <c r="U112" s="177"/>
      <c r="V112" s="177"/>
      <c r="W112" s="177"/>
      <c r="X112" s="177"/>
      <c r="Y112" s="177"/>
      <c r="Z112" s="177"/>
      <c r="AA112" s="177"/>
      <c r="AB112" s="177"/>
      <c r="AC112" s="177"/>
      <c r="AD112" s="177"/>
      <c r="AE112" s="177"/>
      <c r="AF112" s="177"/>
      <c r="AG112" s="177"/>
      <c r="AH112" s="177"/>
      <c r="AI112" s="177"/>
      <c r="AJ112" s="177"/>
      <c r="AK112" s="177"/>
      <c r="AL112" s="177"/>
      <c r="AM112" s="177"/>
    </row>
    <row r="113" spans="1:39">
      <c r="A113" s="177"/>
      <c r="B113" s="177"/>
      <c r="C113" s="177"/>
      <c r="D113" s="177"/>
      <c r="E113" s="177"/>
      <c r="F113" s="177"/>
      <c r="G113" s="177"/>
      <c r="H113" s="177"/>
      <c r="I113" s="177"/>
      <c r="J113" s="177"/>
      <c r="K113" s="177"/>
      <c r="L113" s="177"/>
      <c r="M113" s="177"/>
      <c r="N113" s="177"/>
      <c r="O113" s="177"/>
      <c r="P113" s="177"/>
      <c r="Q113" s="177"/>
      <c r="R113" s="177"/>
      <c r="S113" s="177"/>
      <c r="T113" s="177"/>
      <c r="U113" s="177"/>
      <c r="V113" s="177"/>
      <c r="W113" s="177"/>
      <c r="X113" s="177"/>
      <c r="Y113" s="177"/>
      <c r="Z113" s="177"/>
      <c r="AA113" s="177"/>
      <c r="AB113" s="177"/>
      <c r="AC113" s="177"/>
      <c r="AD113" s="177"/>
      <c r="AE113" s="177"/>
      <c r="AF113" s="177"/>
      <c r="AG113" s="177"/>
      <c r="AH113" s="177"/>
      <c r="AI113" s="177"/>
      <c r="AJ113" s="177"/>
      <c r="AK113" s="177"/>
      <c r="AL113" s="177"/>
      <c r="AM113" s="177"/>
    </row>
    <row r="114" spans="1:39">
      <c r="A114" s="177"/>
      <c r="B114" s="177"/>
      <c r="C114" s="177"/>
      <c r="D114" s="177"/>
      <c r="E114" s="177"/>
      <c r="F114" s="177"/>
      <c r="G114" s="177"/>
      <c r="H114" s="177"/>
      <c r="I114" s="177"/>
      <c r="J114" s="177"/>
      <c r="K114" s="177"/>
      <c r="L114" s="177"/>
      <c r="M114" s="177"/>
      <c r="N114" s="177"/>
      <c r="O114" s="177"/>
      <c r="P114" s="177"/>
      <c r="Q114" s="177"/>
      <c r="R114" s="177"/>
      <c r="S114" s="177"/>
      <c r="T114" s="177"/>
      <c r="U114" s="177"/>
      <c r="V114" s="177"/>
      <c r="W114" s="177"/>
      <c r="X114" s="177"/>
      <c r="Y114" s="177"/>
      <c r="Z114" s="177"/>
      <c r="AA114" s="177"/>
      <c r="AB114" s="177"/>
      <c r="AC114" s="177"/>
      <c r="AD114" s="177"/>
      <c r="AE114" s="177"/>
      <c r="AF114" s="177"/>
      <c r="AG114" s="177"/>
      <c r="AH114" s="177"/>
      <c r="AI114" s="177"/>
      <c r="AJ114" s="177"/>
      <c r="AK114" s="177"/>
      <c r="AL114" s="177"/>
      <c r="AM114" s="177"/>
    </row>
    <row r="115" spans="1:39">
      <c r="A115" s="177"/>
      <c r="B115" s="177"/>
      <c r="C115" s="177"/>
      <c r="D115" s="177"/>
      <c r="E115" s="177"/>
      <c r="F115" s="177"/>
      <c r="G115" s="177"/>
      <c r="H115" s="177"/>
      <c r="I115" s="177"/>
      <c r="J115" s="177"/>
      <c r="K115" s="177"/>
      <c r="L115" s="177"/>
      <c r="M115" s="177"/>
      <c r="N115" s="177"/>
      <c r="O115" s="177"/>
      <c r="P115" s="177"/>
      <c r="Q115" s="177"/>
      <c r="R115" s="177"/>
      <c r="S115" s="177"/>
      <c r="T115" s="177"/>
      <c r="U115" s="177"/>
      <c r="V115" s="177"/>
      <c r="W115" s="177"/>
      <c r="X115" s="177"/>
      <c r="Y115" s="177"/>
      <c r="Z115" s="177"/>
      <c r="AA115" s="177"/>
      <c r="AB115" s="177"/>
      <c r="AC115" s="177"/>
      <c r="AD115" s="177"/>
      <c r="AE115" s="177"/>
      <c r="AF115" s="177"/>
      <c r="AG115" s="177"/>
      <c r="AH115" s="177"/>
      <c r="AI115" s="177"/>
      <c r="AJ115" s="177"/>
      <c r="AK115" s="177"/>
      <c r="AL115" s="177"/>
      <c r="AM115" s="177"/>
    </row>
    <row r="116" spans="1:39">
      <c r="A116" s="177"/>
      <c r="B116" s="177"/>
      <c r="C116" s="177"/>
      <c r="D116" s="177"/>
      <c r="E116" s="177"/>
      <c r="F116" s="177"/>
      <c r="G116" s="177"/>
      <c r="H116" s="177"/>
      <c r="I116" s="177"/>
      <c r="J116" s="177"/>
      <c r="K116" s="177"/>
      <c r="L116" s="177"/>
      <c r="M116" s="177"/>
      <c r="N116" s="177"/>
      <c r="O116" s="177"/>
      <c r="P116" s="177"/>
      <c r="Q116" s="177"/>
      <c r="R116" s="177"/>
      <c r="S116" s="177"/>
      <c r="T116" s="177"/>
      <c r="U116" s="177"/>
      <c r="V116" s="177"/>
      <c r="W116" s="177"/>
      <c r="X116" s="177"/>
      <c r="Y116" s="177"/>
      <c r="Z116" s="177"/>
      <c r="AA116" s="177"/>
      <c r="AB116" s="177"/>
      <c r="AC116" s="177"/>
      <c r="AD116" s="177"/>
      <c r="AE116" s="177"/>
      <c r="AF116" s="177"/>
      <c r="AG116" s="177"/>
      <c r="AH116" s="177"/>
      <c r="AI116" s="177"/>
      <c r="AJ116" s="177"/>
      <c r="AK116" s="177"/>
      <c r="AL116" s="177"/>
      <c r="AM116" s="177"/>
    </row>
    <row r="117" spans="1:39">
      <c r="A117" s="177"/>
      <c r="B117" s="177"/>
      <c r="C117" s="177"/>
      <c r="D117" s="177"/>
      <c r="E117" s="177"/>
      <c r="F117" s="177"/>
      <c r="G117" s="177"/>
      <c r="H117" s="177"/>
      <c r="I117" s="177"/>
      <c r="J117" s="177"/>
      <c r="K117" s="177"/>
      <c r="L117" s="177"/>
      <c r="M117" s="177"/>
      <c r="N117" s="177"/>
      <c r="O117" s="177"/>
      <c r="P117" s="177"/>
      <c r="Q117" s="177"/>
      <c r="R117" s="177"/>
      <c r="S117" s="177"/>
      <c r="T117" s="177"/>
      <c r="U117" s="177"/>
      <c r="V117" s="177"/>
      <c r="W117" s="177"/>
      <c r="X117" s="177"/>
      <c r="Y117" s="177"/>
      <c r="Z117" s="177"/>
      <c r="AA117" s="177"/>
      <c r="AB117" s="177"/>
      <c r="AC117" s="177"/>
      <c r="AD117" s="177"/>
      <c r="AE117" s="177"/>
      <c r="AF117" s="177"/>
      <c r="AG117" s="177"/>
      <c r="AH117" s="177"/>
      <c r="AI117" s="177"/>
      <c r="AJ117" s="177"/>
      <c r="AK117" s="177"/>
      <c r="AL117" s="177"/>
      <c r="AM117" s="177"/>
    </row>
    <row r="118" spans="1:39">
      <c r="A118" s="177"/>
      <c r="B118" s="177"/>
      <c r="C118" s="177"/>
      <c r="D118" s="177"/>
      <c r="E118" s="177"/>
      <c r="F118" s="177"/>
      <c r="G118" s="177"/>
      <c r="H118" s="177"/>
      <c r="I118" s="177"/>
      <c r="J118" s="177"/>
      <c r="K118" s="177"/>
      <c r="L118" s="177"/>
      <c r="M118" s="177"/>
      <c r="N118" s="177"/>
      <c r="O118" s="177"/>
      <c r="P118" s="177"/>
      <c r="Q118" s="177"/>
      <c r="R118" s="177"/>
      <c r="S118" s="177"/>
      <c r="T118" s="177"/>
      <c r="U118" s="177"/>
      <c r="V118" s="177"/>
      <c r="W118" s="177"/>
      <c r="X118" s="177"/>
      <c r="Y118" s="177"/>
      <c r="Z118" s="177"/>
      <c r="AA118" s="177"/>
      <c r="AB118" s="177"/>
      <c r="AC118" s="177"/>
      <c r="AD118" s="177"/>
      <c r="AE118" s="177"/>
      <c r="AF118" s="177"/>
      <c r="AG118" s="177"/>
      <c r="AH118" s="177"/>
      <c r="AI118" s="177"/>
      <c r="AJ118" s="177"/>
      <c r="AK118" s="177"/>
      <c r="AL118" s="177"/>
      <c r="AM118" s="177"/>
    </row>
    <row r="119" spans="1:39">
      <c r="A119" s="177"/>
      <c r="B119" s="177"/>
      <c r="C119" s="177"/>
      <c r="D119" s="177"/>
      <c r="E119" s="177"/>
      <c r="F119" s="177"/>
      <c r="G119" s="177"/>
      <c r="H119" s="177"/>
      <c r="I119" s="177"/>
      <c r="J119" s="177"/>
      <c r="K119" s="177"/>
      <c r="L119" s="177"/>
      <c r="M119" s="177"/>
      <c r="N119" s="177"/>
      <c r="O119" s="177"/>
      <c r="P119" s="177"/>
      <c r="Q119" s="177"/>
      <c r="R119" s="177"/>
      <c r="S119" s="177"/>
      <c r="T119" s="177"/>
      <c r="U119" s="177"/>
      <c r="V119" s="177"/>
      <c r="W119" s="177"/>
      <c r="X119" s="177"/>
      <c r="Y119" s="177"/>
      <c r="Z119" s="177"/>
      <c r="AA119" s="177"/>
      <c r="AB119" s="177"/>
      <c r="AC119" s="177"/>
      <c r="AD119" s="177"/>
      <c r="AE119" s="177"/>
      <c r="AF119" s="177"/>
      <c r="AG119" s="177"/>
      <c r="AH119" s="177"/>
      <c r="AI119" s="177"/>
      <c r="AJ119" s="177"/>
      <c r="AK119" s="177"/>
      <c r="AL119" s="177"/>
      <c r="AM119" s="177"/>
    </row>
    <row r="120" spans="1:39">
      <c r="A120" s="177"/>
      <c r="B120" s="177"/>
      <c r="C120" s="177"/>
      <c r="D120" s="177"/>
      <c r="E120" s="177"/>
      <c r="F120" s="177"/>
      <c r="G120" s="177"/>
      <c r="H120" s="177"/>
      <c r="I120" s="177"/>
      <c r="J120" s="177"/>
      <c r="K120" s="177"/>
      <c r="L120" s="177"/>
      <c r="M120" s="177"/>
      <c r="N120" s="177"/>
      <c r="O120" s="177"/>
      <c r="P120" s="177"/>
      <c r="Q120" s="177"/>
      <c r="R120" s="177"/>
      <c r="S120" s="177"/>
      <c r="T120" s="177"/>
      <c r="U120" s="177"/>
      <c r="V120" s="177"/>
      <c r="W120" s="177"/>
      <c r="X120" s="177"/>
      <c r="Y120" s="177"/>
      <c r="Z120" s="177"/>
      <c r="AA120" s="177"/>
      <c r="AB120" s="177"/>
      <c r="AC120" s="177"/>
      <c r="AD120" s="177"/>
      <c r="AE120" s="177"/>
      <c r="AF120" s="177"/>
      <c r="AG120" s="177"/>
      <c r="AH120" s="177"/>
      <c r="AI120" s="177"/>
      <c r="AJ120" s="177"/>
      <c r="AK120" s="177"/>
      <c r="AL120" s="177"/>
      <c r="AM120" s="177"/>
    </row>
    <row r="121" spans="1:39">
      <c r="A121" s="177"/>
      <c r="B121" s="177"/>
      <c r="C121" s="177"/>
      <c r="D121" s="177"/>
      <c r="E121" s="177"/>
      <c r="F121" s="177"/>
      <c r="G121" s="177"/>
      <c r="H121" s="177"/>
      <c r="I121" s="177"/>
      <c r="J121" s="177"/>
      <c r="K121" s="177"/>
      <c r="L121" s="177"/>
      <c r="M121" s="177"/>
      <c r="N121" s="177"/>
      <c r="O121" s="177"/>
      <c r="P121" s="177"/>
      <c r="Q121" s="177"/>
      <c r="R121" s="177"/>
      <c r="S121" s="177"/>
      <c r="T121" s="177"/>
      <c r="U121" s="177"/>
      <c r="V121" s="177"/>
      <c r="W121" s="177"/>
      <c r="X121" s="177"/>
      <c r="Y121" s="177"/>
      <c r="Z121" s="177"/>
      <c r="AA121" s="177"/>
      <c r="AB121" s="177"/>
      <c r="AC121" s="177"/>
      <c r="AD121" s="177"/>
      <c r="AE121" s="177"/>
      <c r="AF121" s="177"/>
      <c r="AG121" s="177"/>
      <c r="AH121" s="177"/>
      <c r="AI121" s="177"/>
      <c r="AJ121" s="177"/>
      <c r="AK121" s="177"/>
      <c r="AL121" s="177"/>
      <c r="AM121" s="177"/>
    </row>
    <row r="122" spans="1:39">
      <c r="A122" s="177"/>
      <c r="B122" s="177"/>
      <c r="C122" s="177"/>
      <c r="D122" s="177"/>
      <c r="E122" s="177"/>
      <c r="F122" s="177"/>
      <c r="G122" s="177"/>
      <c r="H122" s="177"/>
      <c r="I122" s="177"/>
      <c r="J122" s="177"/>
      <c r="K122" s="177"/>
      <c r="L122" s="177"/>
      <c r="M122" s="177"/>
      <c r="N122" s="177"/>
      <c r="O122" s="177"/>
      <c r="P122" s="177"/>
      <c r="Q122" s="177"/>
      <c r="R122" s="177"/>
      <c r="S122" s="177"/>
      <c r="T122" s="177"/>
      <c r="U122" s="177"/>
      <c r="V122" s="177"/>
      <c r="W122" s="177"/>
      <c r="X122" s="177"/>
      <c r="Y122" s="177"/>
      <c r="Z122" s="177"/>
      <c r="AA122" s="177"/>
      <c r="AB122" s="177"/>
      <c r="AC122" s="177"/>
      <c r="AD122" s="177"/>
      <c r="AE122" s="177"/>
      <c r="AF122" s="177"/>
      <c r="AG122" s="177"/>
      <c r="AH122" s="177"/>
      <c r="AI122" s="177"/>
      <c r="AJ122" s="177"/>
      <c r="AK122" s="177"/>
      <c r="AL122" s="177"/>
      <c r="AM122" s="177"/>
    </row>
    <row r="123" spans="1:39">
      <c r="A123" s="177"/>
      <c r="B123" s="177"/>
      <c r="C123" s="177"/>
      <c r="D123" s="177"/>
      <c r="E123" s="177"/>
      <c r="F123" s="177"/>
      <c r="G123" s="177"/>
      <c r="H123" s="177"/>
      <c r="I123" s="177"/>
      <c r="J123" s="177"/>
      <c r="K123" s="177"/>
      <c r="L123" s="177"/>
      <c r="M123" s="177"/>
      <c r="N123" s="177"/>
      <c r="O123" s="177"/>
      <c r="P123" s="177"/>
      <c r="Q123" s="177"/>
      <c r="R123" s="177"/>
      <c r="S123" s="177"/>
      <c r="T123" s="177"/>
      <c r="U123" s="177"/>
      <c r="V123" s="177"/>
      <c r="W123" s="177"/>
      <c r="X123" s="177"/>
      <c r="Y123" s="177"/>
      <c r="Z123" s="177"/>
      <c r="AA123" s="177"/>
      <c r="AB123" s="177"/>
      <c r="AC123" s="177"/>
      <c r="AD123" s="177"/>
      <c r="AE123" s="177"/>
      <c r="AF123" s="177"/>
      <c r="AG123" s="177"/>
      <c r="AH123" s="177"/>
      <c r="AI123" s="177"/>
      <c r="AJ123" s="177"/>
      <c r="AK123" s="177"/>
      <c r="AL123" s="177"/>
      <c r="AM123" s="177"/>
    </row>
    <row r="124" spans="1:39">
      <c r="A124" s="177"/>
      <c r="B124" s="177"/>
      <c r="C124" s="177"/>
      <c r="D124" s="177"/>
      <c r="E124" s="177"/>
      <c r="F124" s="177"/>
      <c r="G124" s="177"/>
      <c r="H124" s="177"/>
      <c r="I124" s="177"/>
      <c r="J124" s="177"/>
      <c r="K124" s="177"/>
      <c r="L124" s="177"/>
      <c r="M124" s="177"/>
      <c r="N124" s="177"/>
      <c r="O124" s="177"/>
      <c r="P124" s="177"/>
      <c r="Q124" s="177"/>
      <c r="R124" s="177"/>
      <c r="S124" s="177"/>
      <c r="T124" s="177"/>
      <c r="U124" s="177"/>
      <c r="V124" s="177"/>
      <c r="W124" s="177"/>
      <c r="X124" s="177"/>
      <c r="Y124" s="177"/>
      <c r="Z124" s="177"/>
      <c r="AA124" s="177"/>
      <c r="AB124" s="177"/>
      <c r="AC124" s="177"/>
      <c r="AD124" s="177"/>
      <c r="AE124" s="177"/>
      <c r="AF124" s="177"/>
      <c r="AG124" s="177"/>
      <c r="AH124" s="177"/>
      <c r="AI124" s="177"/>
      <c r="AJ124" s="177"/>
      <c r="AK124" s="177"/>
      <c r="AL124" s="177"/>
      <c r="AM124" s="177"/>
    </row>
    <row r="125" spans="1:39">
      <c r="A125" s="177"/>
      <c r="B125" s="177"/>
      <c r="C125" s="177"/>
      <c r="D125" s="177"/>
      <c r="E125" s="177"/>
      <c r="F125" s="177"/>
      <c r="G125" s="177"/>
      <c r="H125" s="177"/>
      <c r="I125" s="177"/>
      <c r="J125" s="177"/>
      <c r="K125" s="177"/>
      <c r="L125" s="177"/>
      <c r="M125" s="177"/>
      <c r="N125" s="177"/>
      <c r="O125" s="177"/>
      <c r="P125" s="177"/>
      <c r="Q125" s="177"/>
      <c r="R125" s="177"/>
      <c r="S125" s="177"/>
      <c r="T125" s="177"/>
      <c r="U125" s="177"/>
      <c r="V125" s="177"/>
      <c r="W125" s="177"/>
      <c r="X125" s="177"/>
      <c r="Y125" s="177"/>
      <c r="Z125" s="177"/>
      <c r="AA125" s="177"/>
      <c r="AB125" s="177"/>
      <c r="AC125" s="177"/>
      <c r="AD125" s="177"/>
      <c r="AE125" s="177"/>
      <c r="AF125" s="177"/>
      <c r="AG125" s="177"/>
      <c r="AH125" s="177"/>
      <c r="AI125" s="177"/>
      <c r="AJ125" s="177"/>
      <c r="AK125" s="177"/>
      <c r="AL125" s="177"/>
      <c r="AM125" s="177"/>
    </row>
    <row r="126" spans="1:39">
      <c r="A126" s="177"/>
      <c r="B126" s="177"/>
      <c r="C126" s="177"/>
      <c r="D126" s="177"/>
      <c r="E126" s="177"/>
      <c r="F126" s="177"/>
      <c r="G126" s="177"/>
      <c r="H126" s="177"/>
      <c r="I126" s="177"/>
      <c r="J126" s="177"/>
      <c r="K126" s="177"/>
      <c r="L126" s="177"/>
      <c r="M126" s="177"/>
      <c r="N126" s="177"/>
      <c r="O126" s="177"/>
      <c r="P126" s="177"/>
      <c r="Q126" s="177"/>
      <c r="R126" s="177"/>
      <c r="S126" s="177"/>
      <c r="T126" s="177"/>
      <c r="U126" s="177"/>
      <c r="V126" s="177"/>
      <c r="W126" s="177"/>
      <c r="X126" s="177"/>
      <c r="Y126" s="177"/>
      <c r="Z126" s="177"/>
      <c r="AA126" s="177"/>
      <c r="AB126" s="177"/>
      <c r="AC126" s="177"/>
      <c r="AD126" s="177"/>
      <c r="AE126" s="177"/>
      <c r="AF126" s="177"/>
      <c r="AG126" s="177"/>
      <c r="AH126" s="177"/>
      <c r="AI126" s="177"/>
      <c r="AJ126" s="177"/>
      <c r="AK126" s="177"/>
      <c r="AL126" s="177"/>
      <c r="AM126" s="177"/>
    </row>
    <row r="127" spans="1:39">
      <c r="A127" s="177"/>
      <c r="B127" s="177"/>
      <c r="C127" s="177"/>
      <c r="D127" s="177"/>
      <c r="E127" s="177"/>
      <c r="F127" s="177"/>
      <c r="G127" s="177"/>
      <c r="H127" s="177"/>
      <c r="I127" s="177"/>
      <c r="J127" s="177"/>
      <c r="K127" s="177"/>
      <c r="L127" s="177"/>
      <c r="M127" s="177"/>
      <c r="N127" s="177"/>
      <c r="O127" s="177"/>
      <c r="P127" s="177"/>
      <c r="Q127" s="177"/>
      <c r="R127" s="177"/>
      <c r="S127" s="177"/>
      <c r="T127" s="177"/>
      <c r="U127" s="177"/>
      <c r="V127" s="177"/>
      <c r="W127" s="177"/>
      <c r="X127" s="177"/>
      <c r="Y127" s="177"/>
      <c r="Z127" s="177"/>
      <c r="AA127" s="177"/>
      <c r="AB127" s="177"/>
      <c r="AC127" s="177"/>
      <c r="AD127" s="177"/>
      <c r="AE127" s="177"/>
      <c r="AF127" s="177"/>
      <c r="AG127" s="177"/>
      <c r="AH127" s="177"/>
      <c r="AI127" s="177"/>
      <c r="AJ127" s="177"/>
      <c r="AK127" s="177"/>
      <c r="AL127" s="177"/>
      <c r="AM127" s="177"/>
    </row>
    <row r="128" spans="1:39">
      <c r="A128" s="177"/>
      <c r="B128" s="177"/>
      <c r="C128" s="177"/>
      <c r="D128" s="177"/>
      <c r="E128" s="177"/>
      <c r="F128" s="177"/>
      <c r="G128" s="177"/>
      <c r="H128" s="177"/>
      <c r="I128" s="177"/>
      <c r="J128" s="177"/>
      <c r="K128" s="177"/>
      <c r="L128" s="177"/>
      <c r="M128" s="177"/>
      <c r="N128" s="177"/>
      <c r="O128" s="177"/>
      <c r="P128" s="177"/>
      <c r="Q128" s="177"/>
      <c r="R128" s="177"/>
      <c r="S128" s="177"/>
      <c r="T128" s="177"/>
      <c r="U128" s="177"/>
      <c r="V128" s="177"/>
      <c r="W128" s="177"/>
      <c r="X128" s="177"/>
      <c r="Y128" s="177"/>
      <c r="Z128" s="177"/>
      <c r="AA128" s="177"/>
      <c r="AB128" s="177"/>
      <c r="AC128" s="177"/>
      <c r="AD128" s="177"/>
      <c r="AE128" s="177"/>
      <c r="AF128" s="177"/>
      <c r="AG128" s="177"/>
      <c r="AH128" s="177"/>
      <c r="AI128" s="177"/>
      <c r="AJ128" s="177"/>
      <c r="AK128" s="177"/>
      <c r="AL128" s="177"/>
      <c r="AM128" s="177"/>
    </row>
    <row r="129" spans="1:39">
      <c r="A129" s="177"/>
      <c r="B129" s="177"/>
      <c r="C129" s="177"/>
      <c r="D129" s="177"/>
      <c r="E129" s="177"/>
      <c r="F129" s="177"/>
      <c r="G129" s="177"/>
      <c r="H129" s="177"/>
      <c r="I129" s="177"/>
      <c r="J129" s="177"/>
      <c r="K129" s="177"/>
      <c r="L129" s="177"/>
      <c r="M129" s="177"/>
      <c r="N129" s="177"/>
      <c r="O129" s="177"/>
      <c r="P129" s="177"/>
      <c r="Q129" s="177"/>
      <c r="R129" s="177"/>
      <c r="S129" s="177"/>
      <c r="T129" s="177"/>
      <c r="U129" s="177"/>
      <c r="V129" s="177"/>
      <c r="W129" s="177"/>
      <c r="X129" s="177"/>
      <c r="Y129" s="177"/>
      <c r="Z129" s="177"/>
      <c r="AA129" s="177"/>
      <c r="AB129" s="177"/>
      <c r="AC129" s="177"/>
      <c r="AD129" s="177"/>
      <c r="AE129" s="177"/>
      <c r="AF129" s="177"/>
      <c r="AG129" s="177"/>
      <c r="AH129" s="177"/>
      <c r="AI129" s="177"/>
      <c r="AJ129" s="177"/>
      <c r="AK129" s="177"/>
      <c r="AL129" s="177"/>
      <c r="AM129" s="177"/>
    </row>
    <row r="130" spans="1:39">
      <c r="A130" s="177"/>
      <c r="B130" s="177"/>
      <c r="C130" s="177"/>
      <c r="D130" s="177"/>
      <c r="E130" s="177"/>
      <c r="F130" s="177"/>
      <c r="G130" s="177"/>
      <c r="H130" s="177"/>
      <c r="I130" s="177"/>
      <c r="J130" s="177"/>
      <c r="K130" s="177"/>
      <c r="L130" s="177"/>
      <c r="M130" s="177"/>
      <c r="N130" s="177"/>
      <c r="O130" s="177"/>
      <c r="P130" s="177"/>
      <c r="Q130" s="177"/>
      <c r="R130" s="177"/>
      <c r="S130" s="177"/>
      <c r="T130" s="177"/>
      <c r="U130" s="177"/>
      <c r="V130" s="177"/>
      <c r="W130" s="177"/>
      <c r="X130" s="177"/>
      <c r="Y130" s="177"/>
      <c r="Z130" s="177"/>
      <c r="AA130" s="177"/>
      <c r="AB130" s="177"/>
      <c r="AC130" s="177"/>
      <c r="AD130" s="177"/>
      <c r="AE130" s="177"/>
      <c r="AF130" s="177"/>
      <c r="AG130" s="177"/>
      <c r="AH130" s="177"/>
      <c r="AI130" s="177"/>
      <c r="AJ130" s="177"/>
      <c r="AK130" s="177"/>
      <c r="AL130" s="177"/>
      <c r="AM130" s="177"/>
    </row>
    <row r="131" spans="1:39">
      <c r="A131" s="177"/>
      <c r="B131" s="177"/>
      <c r="C131" s="177"/>
      <c r="D131" s="177"/>
      <c r="E131" s="177"/>
      <c r="F131" s="177"/>
      <c r="G131" s="177"/>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row>
    <row r="132" spans="1:39">
      <c r="A132" s="177"/>
      <c r="B132" s="177"/>
      <c r="C132" s="177"/>
      <c r="D132" s="177"/>
      <c r="E132" s="177"/>
      <c r="F132" s="177"/>
      <c r="G132" s="177"/>
      <c r="H132" s="177"/>
      <c r="I132" s="177"/>
      <c r="J132" s="177"/>
      <c r="K132" s="177"/>
      <c r="L132" s="177"/>
      <c r="M132" s="177"/>
      <c r="N132" s="177"/>
      <c r="O132" s="177"/>
      <c r="P132" s="177"/>
      <c r="Q132" s="177"/>
      <c r="R132" s="177"/>
      <c r="S132" s="177"/>
      <c r="T132" s="177"/>
      <c r="U132" s="177"/>
      <c r="V132" s="177"/>
      <c r="W132" s="177"/>
      <c r="X132" s="177"/>
      <c r="Y132" s="177"/>
      <c r="Z132" s="177"/>
      <c r="AA132" s="177"/>
      <c r="AB132" s="177"/>
      <c r="AC132" s="177"/>
      <c r="AD132" s="177"/>
      <c r="AE132" s="177"/>
      <c r="AF132" s="177"/>
      <c r="AG132" s="177"/>
      <c r="AH132" s="177"/>
      <c r="AI132" s="177"/>
      <c r="AJ132" s="177"/>
      <c r="AK132" s="177"/>
      <c r="AL132" s="177"/>
      <c r="AM132" s="177"/>
    </row>
    <row r="133" spans="1:39">
      <c r="A133" s="177"/>
      <c r="B133" s="177"/>
      <c r="C133" s="177"/>
      <c r="D133" s="177"/>
      <c r="E133" s="177"/>
      <c r="F133" s="177"/>
      <c r="G133" s="177"/>
      <c r="H133" s="177"/>
      <c r="I133" s="177"/>
      <c r="J133" s="177"/>
      <c r="K133" s="177"/>
      <c r="L133" s="177"/>
      <c r="M133" s="177"/>
      <c r="N133" s="177"/>
      <c r="O133" s="177"/>
      <c r="P133" s="177"/>
      <c r="Q133" s="177"/>
      <c r="R133" s="177"/>
      <c r="S133" s="177"/>
      <c r="T133" s="177"/>
      <c r="U133" s="177"/>
      <c r="V133" s="177"/>
      <c r="W133" s="177"/>
      <c r="X133" s="177"/>
      <c r="Y133" s="177"/>
      <c r="Z133" s="177"/>
      <c r="AA133" s="177"/>
      <c r="AB133" s="177"/>
      <c r="AC133" s="177"/>
      <c r="AD133" s="177"/>
      <c r="AE133" s="177"/>
      <c r="AF133" s="177"/>
      <c r="AG133" s="177"/>
      <c r="AH133" s="177"/>
      <c r="AI133" s="177"/>
      <c r="AJ133" s="177"/>
      <c r="AK133" s="177"/>
      <c r="AL133" s="177"/>
      <c r="AM133" s="177"/>
    </row>
    <row r="134" spans="1:39">
      <c r="A134" s="177"/>
      <c r="B134" s="177"/>
      <c r="C134" s="177"/>
      <c r="D134" s="177"/>
      <c r="E134" s="177"/>
      <c r="F134" s="177"/>
      <c r="G134" s="177"/>
      <c r="H134" s="177"/>
      <c r="I134" s="177"/>
      <c r="J134" s="177"/>
      <c r="K134" s="177"/>
      <c r="L134" s="177"/>
      <c r="M134" s="177"/>
      <c r="N134" s="177"/>
      <c r="O134" s="177"/>
      <c r="P134" s="177"/>
      <c r="Q134" s="177"/>
      <c r="R134" s="177"/>
      <c r="S134" s="177"/>
      <c r="T134" s="177"/>
      <c r="U134" s="177"/>
      <c r="V134" s="177"/>
      <c r="W134" s="177"/>
      <c r="X134" s="177"/>
      <c r="Y134" s="177"/>
      <c r="Z134" s="177"/>
      <c r="AA134" s="177"/>
      <c r="AB134" s="177"/>
      <c r="AC134" s="177"/>
      <c r="AD134" s="177"/>
      <c r="AE134" s="177"/>
      <c r="AF134" s="177"/>
      <c r="AG134" s="177"/>
      <c r="AH134" s="177"/>
      <c r="AI134" s="177"/>
      <c r="AJ134" s="177"/>
      <c r="AK134" s="177"/>
      <c r="AL134" s="177"/>
      <c r="AM134" s="177"/>
    </row>
    <row r="135" spans="1:39">
      <c r="A135" s="177"/>
      <c r="B135" s="177"/>
      <c r="C135" s="177"/>
      <c r="D135" s="177"/>
      <c r="E135" s="177"/>
      <c r="F135" s="177"/>
      <c r="G135" s="177"/>
      <c r="H135" s="177"/>
      <c r="I135" s="177"/>
      <c r="J135" s="177"/>
      <c r="K135" s="177"/>
      <c r="L135" s="177"/>
      <c r="M135" s="177"/>
      <c r="N135" s="177"/>
      <c r="O135" s="177"/>
      <c r="P135" s="177"/>
      <c r="Q135" s="177"/>
      <c r="R135" s="177"/>
      <c r="S135" s="177"/>
      <c r="T135" s="177"/>
      <c r="U135" s="177"/>
      <c r="V135" s="177"/>
      <c r="W135" s="177"/>
      <c r="X135" s="177"/>
      <c r="Y135" s="177"/>
      <c r="Z135" s="177"/>
      <c r="AA135" s="177"/>
      <c r="AB135" s="177"/>
      <c r="AC135" s="177"/>
      <c r="AD135" s="177"/>
      <c r="AE135" s="177"/>
      <c r="AF135" s="177"/>
      <c r="AG135" s="177"/>
      <c r="AH135" s="177"/>
      <c r="AI135" s="177"/>
      <c r="AJ135" s="177"/>
      <c r="AK135" s="177"/>
      <c r="AL135" s="177"/>
      <c r="AM135" s="177"/>
    </row>
    <row r="136" spans="1:39">
      <c r="A136" s="177"/>
      <c r="B136" s="177"/>
      <c r="C136" s="177"/>
      <c r="D136" s="177"/>
      <c r="E136" s="177"/>
      <c r="F136" s="177"/>
      <c r="G136" s="177"/>
      <c r="H136" s="177"/>
      <c r="I136" s="177"/>
      <c r="J136" s="177"/>
      <c r="K136" s="177"/>
      <c r="L136" s="177"/>
      <c r="M136" s="177"/>
      <c r="N136" s="177"/>
      <c r="O136" s="177"/>
      <c r="P136" s="177"/>
      <c r="Q136" s="177"/>
      <c r="R136" s="177"/>
      <c r="S136" s="177"/>
      <c r="T136" s="177"/>
      <c r="U136" s="177"/>
      <c r="V136" s="177"/>
      <c r="W136" s="177"/>
      <c r="X136" s="177"/>
      <c r="Y136" s="177"/>
      <c r="Z136" s="177"/>
      <c r="AA136" s="177"/>
      <c r="AB136" s="177"/>
      <c r="AC136" s="177"/>
      <c r="AD136" s="177"/>
      <c r="AE136" s="177"/>
      <c r="AF136" s="177"/>
      <c r="AG136" s="177"/>
      <c r="AH136" s="177"/>
      <c r="AI136" s="177"/>
      <c r="AJ136" s="177"/>
      <c r="AK136" s="177"/>
      <c r="AL136" s="177"/>
      <c r="AM136" s="177"/>
    </row>
    <row r="137" spans="1:39">
      <c r="A137" s="177"/>
      <c r="B137" s="177"/>
      <c r="C137" s="177"/>
      <c r="D137" s="177"/>
      <c r="E137" s="177"/>
      <c r="F137" s="177"/>
      <c r="G137" s="177"/>
      <c r="H137" s="177"/>
      <c r="I137" s="177"/>
      <c r="J137" s="177"/>
      <c r="K137" s="177"/>
      <c r="L137" s="177"/>
      <c r="M137" s="177"/>
      <c r="N137" s="177"/>
      <c r="O137" s="177"/>
      <c r="P137" s="177"/>
      <c r="Q137" s="177"/>
      <c r="R137" s="177"/>
      <c r="S137" s="177"/>
      <c r="T137" s="177"/>
      <c r="U137" s="177"/>
      <c r="V137" s="177"/>
      <c r="W137" s="177"/>
      <c r="X137" s="177"/>
      <c r="Y137" s="177"/>
      <c r="Z137" s="177"/>
      <c r="AA137" s="177"/>
      <c r="AB137" s="177"/>
      <c r="AC137" s="177"/>
      <c r="AD137" s="177"/>
      <c r="AE137" s="177"/>
      <c r="AF137" s="177"/>
      <c r="AG137" s="177"/>
      <c r="AH137" s="177"/>
      <c r="AI137" s="177"/>
      <c r="AJ137" s="177"/>
      <c r="AK137" s="177"/>
      <c r="AL137" s="177"/>
      <c r="AM137" s="177"/>
    </row>
    <row r="138" spans="1:39">
      <c r="A138" s="177"/>
      <c r="B138" s="177"/>
      <c r="C138" s="177"/>
      <c r="D138" s="177"/>
      <c r="E138" s="177"/>
      <c r="F138" s="177"/>
      <c r="G138" s="177"/>
      <c r="H138" s="177"/>
      <c r="I138" s="177"/>
      <c r="J138" s="177"/>
      <c r="K138" s="177"/>
      <c r="L138" s="177"/>
      <c r="M138" s="177"/>
      <c r="N138" s="177"/>
      <c r="O138" s="177"/>
      <c r="P138" s="177"/>
      <c r="Q138" s="177"/>
      <c r="R138" s="177"/>
      <c r="S138" s="177"/>
      <c r="T138" s="177"/>
      <c r="U138" s="177"/>
      <c r="V138" s="177"/>
      <c r="W138" s="177"/>
      <c r="X138" s="177"/>
      <c r="Y138" s="177"/>
      <c r="Z138" s="177"/>
      <c r="AA138" s="177"/>
      <c r="AB138" s="177"/>
      <c r="AC138" s="177"/>
      <c r="AD138" s="177"/>
      <c r="AE138" s="177"/>
      <c r="AF138" s="177"/>
      <c r="AG138" s="177"/>
      <c r="AH138" s="177"/>
      <c r="AI138" s="177"/>
      <c r="AJ138" s="177"/>
      <c r="AK138" s="177"/>
      <c r="AL138" s="177"/>
      <c r="AM138" s="177"/>
    </row>
    <row r="139" spans="1:39">
      <c r="A139" s="177"/>
      <c r="B139" s="177"/>
      <c r="C139" s="177"/>
      <c r="D139" s="177"/>
      <c r="E139" s="177"/>
      <c r="F139" s="177"/>
      <c r="G139" s="177"/>
      <c r="H139" s="177"/>
      <c r="I139" s="177"/>
      <c r="J139" s="177"/>
      <c r="K139" s="177"/>
      <c r="L139" s="177"/>
      <c r="M139" s="177"/>
      <c r="N139" s="177"/>
      <c r="O139" s="177"/>
      <c r="P139" s="177"/>
      <c r="Q139" s="177"/>
      <c r="R139" s="177"/>
      <c r="S139" s="177"/>
      <c r="T139" s="177"/>
      <c r="U139" s="177"/>
      <c r="V139" s="177"/>
      <c r="W139" s="177"/>
      <c r="X139" s="177"/>
      <c r="Y139" s="177"/>
      <c r="Z139" s="177"/>
      <c r="AA139" s="177"/>
      <c r="AB139" s="177"/>
      <c r="AC139" s="177"/>
      <c r="AD139" s="177"/>
      <c r="AE139" s="177"/>
      <c r="AF139" s="177"/>
      <c r="AG139" s="177"/>
      <c r="AH139" s="177"/>
      <c r="AI139" s="177"/>
      <c r="AJ139" s="177"/>
      <c r="AK139" s="177"/>
      <c r="AL139" s="177"/>
      <c r="AM139" s="177"/>
    </row>
    <row r="140" spans="1:39">
      <c r="A140" s="177"/>
      <c r="B140" s="177"/>
      <c r="C140" s="177"/>
      <c r="D140" s="177"/>
      <c r="E140" s="177"/>
      <c r="F140" s="177"/>
      <c r="G140" s="177"/>
      <c r="H140" s="177"/>
      <c r="I140" s="177"/>
      <c r="J140" s="177"/>
      <c r="K140" s="177"/>
      <c r="L140" s="177"/>
      <c r="M140" s="177"/>
      <c r="N140" s="177"/>
      <c r="O140" s="177"/>
      <c r="P140" s="177"/>
      <c r="Q140" s="177"/>
      <c r="R140" s="177"/>
      <c r="S140" s="177"/>
      <c r="T140" s="177"/>
      <c r="U140" s="177"/>
      <c r="V140" s="177"/>
      <c r="W140" s="177"/>
      <c r="X140" s="177"/>
      <c r="Y140" s="177"/>
      <c r="Z140" s="177"/>
      <c r="AA140" s="177"/>
      <c r="AB140" s="177"/>
      <c r="AC140" s="177"/>
      <c r="AD140" s="177"/>
      <c r="AE140" s="177"/>
      <c r="AF140" s="177"/>
      <c r="AG140" s="177"/>
      <c r="AH140" s="177"/>
      <c r="AI140" s="177"/>
      <c r="AJ140" s="177"/>
      <c r="AK140" s="177"/>
      <c r="AL140" s="177"/>
      <c r="AM140" s="177"/>
    </row>
    <row r="141" spans="1:39">
      <c r="A141" s="177"/>
      <c r="B141" s="177"/>
      <c r="C141" s="177"/>
      <c r="D141" s="177"/>
      <c r="E141" s="177"/>
      <c r="F141" s="177"/>
      <c r="G141" s="177"/>
      <c r="H141" s="177"/>
      <c r="I141" s="177"/>
      <c r="J141" s="177"/>
      <c r="K141" s="177"/>
      <c r="L141" s="177"/>
      <c r="M141" s="177"/>
      <c r="N141" s="177"/>
      <c r="O141" s="177"/>
      <c r="P141" s="177"/>
      <c r="Q141" s="177"/>
      <c r="R141" s="177"/>
      <c r="S141" s="177"/>
      <c r="T141" s="177"/>
      <c r="U141" s="177"/>
      <c r="V141" s="177"/>
      <c r="W141" s="177"/>
      <c r="X141" s="177"/>
      <c r="Y141" s="177"/>
      <c r="Z141" s="177"/>
      <c r="AA141" s="177"/>
      <c r="AB141" s="177"/>
      <c r="AC141" s="177"/>
      <c r="AD141" s="177"/>
      <c r="AE141" s="177"/>
      <c r="AF141" s="177"/>
      <c r="AG141" s="177"/>
      <c r="AH141" s="177"/>
      <c r="AI141" s="177"/>
      <c r="AJ141" s="177"/>
      <c r="AK141" s="177"/>
      <c r="AL141" s="177"/>
      <c r="AM141" s="177"/>
    </row>
    <row r="142" spans="1:39">
      <c r="A142" s="177"/>
      <c r="B142" s="177"/>
      <c r="C142" s="177"/>
      <c r="D142" s="177"/>
      <c r="E142" s="177"/>
      <c r="F142" s="177"/>
      <c r="G142" s="177"/>
      <c r="H142" s="177"/>
      <c r="I142" s="177"/>
      <c r="J142" s="177"/>
      <c r="K142" s="177"/>
      <c r="L142" s="177"/>
      <c r="M142" s="177"/>
      <c r="N142" s="177"/>
      <c r="O142" s="177"/>
      <c r="P142" s="177"/>
      <c r="Q142" s="177"/>
      <c r="R142" s="177"/>
      <c r="S142" s="177"/>
      <c r="T142" s="177"/>
      <c r="U142" s="177"/>
      <c r="V142" s="177"/>
      <c r="W142" s="177"/>
      <c r="X142" s="177"/>
      <c r="Y142" s="177"/>
      <c r="Z142" s="177"/>
      <c r="AA142" s="177"/>
      <c r="AB142" s="177"/>
      <c r="AC142" s="177"/>
      <c r="AD142" s="177"/>
      <c r="AE142" s="177"/>
      <c r="AF142" s="177"/>
      <c r="AG142" s="177"/>
      <c r="AH142" s="177"/>
      <c r="AI142" s="177"/>
      <c r="AJ142" s="177"/>
      <c r="AK142" s="177"/>
      <c r="AL142" s="177"/>
      <c r="AM142" s="177"/>
    </row>
    <row r="143" spans="1:39">
      <c r="A143" s="177"/>
      <c r="B143" s="177"/>
      <c r="C143" s="177"/>
      <c r="D143" s="177"/>
      <c r="E143" s="177"/>
      <c r="F143" s="177"/>
      <c r="G143" s="177"/>
      <c r="H143" s="177"/>
      <c r="I143" s="177"/>
      <c r="J143" s="177"/>
      <c r="K143" s="177"/>
      <c r="L143" s="177"/>
      <c r="M143" s="177"/>
      <c r="N143" s="177"/>
      <c r="O143" s="177"/>
      <c r="P143" s="177"/>
      <c r="Q143" s="177"/>
      <c r="R143" s="177"/>
      <c r="S143" s="177"/>
      <c r="T143" s="177"/>
      <c r="U143" s="177"/>
      <c r="V143" s="177"/>
      <c r="W143" s="177"/>
      <c r="X143" s="177"/>
      <c r="Y143" s="177"/>
      <c r="Z143" s="177"/>
      <c r="AA143" s="177"/>
      <c r="AB143" s="177"/>
      <c r="AC143" s="177"/>
      <c r="AD143" s="177"/>
      <c r="AE143" s="177"/>
      <c r="AF143" s="177"/>
      <c r="AG143" s="177"/>
      <c r="AH143" s="177"/>
      <c r="AI143" s="177"/>
      <c r="AJ143" s="177"/>
      <c r="AK143" s="177"/>
      <c r="AL143" s="177"/>
      <c r="AM143" s="177"/>
    </row>
    <row r="144" spans="1:39">
      <c r="A144" s="177"/>
      <c r="B144" s="177"/>
      <c r="C144" s="177"/>
      <c r="D144" s="177"/>
      <c r="E144" s="177"/>
      <c r="F144" s="177"/>
      <c r="G144" s="177"/>
      <c r="H144" s="177"/>
      <c r="I144" s="177"/>
      <c r="J144" s="177"/>
      <c r="K144" s="177"/>
      <c r="L144" s="177"/>
      <c r="M144" s="177"/>
      <c r="N144" s="177"/>
      <c r="O144" s="177"/>
      <c r="P144" s="177"/>
      <c r="Q144" s="177"/>
      <c r="R144" s="177"/>
      <c r="S144" s="177"/>
      <c r="T144" s="177"/>
      <c r="U144" s="177"/>
      <c r="V144" s="177"/>
      <c r="W144" s="177"/>
      <c r="X144" s="177"/>
      <c r="Y144" s="177"/>
      <c r="Z144" s="177"/>
      <c r="AA144" s="177"/>
      <c r="AB144" s="177"/>
      <c r="AC144" s="177"/>
      <c r="AD144" s="177"/>
      <c r="AE144" s="177"/>
      <c r="AF144" s="177"/>
      <c r="AG144" s="177"/>
      <c r="AH144" s="177"/>
      <c r="AI144" s="177"/>
      <c r="AJ144" s="177"/>
      <c r="AK144" s="177"/>
      <c r="AL144" s="177"/>
      <c r="AM144" s="177"/>
    </row>
    <row r="145" spans="1:39">
      <c r="A145" s="177"/>
      <c r="B145" s="177"/>
      <c r="C145" s="177"/>
      <c r="D145" s="177"/>
      <c r="E145" s="177"/>
      <c r="F145" s="177"/>
      <c r="G145" s="177"/>
      <c r="H145" s="177"/>
      <c r="I145" s="177"/>
      <c r="J145" s="177"/>
      <c r="K145" s="177"/>
      <c r="L145" s="177"/>
      <c r="M145" s="177"/>
      <c r="N145" s="177"/>
      <c r="O145" s="177"/>
      <c r="P145" s="177"/>
      <c r="Q145" s="177"/>
      <c r="R145" s="177"/>
      <c r="S145" s="177"/>
      <c r="T145" s="177"/>
      <c r="U145" s="177"/>
      <c r="V145" s="177"/>
      <c r="W145" s="177"/>
      <c r="X145" s="177"/>
      <c r="Y145" s="177"/>
      <c r="Z145" s="177"/>
      <c r="AA145" s="177"/>
      <c r="AB145" s="177"/>
      <c r="AC145" s="177"/>
      <c r="AD145" s="177"/>
      <c r="AE145" s="177"/>
      <c r="AF145" s="177"/>
      <c r="AG145" s="177"/>
      <c r="AH145" s="177"/>
      <c r="AI145" s="177"/>
      <c r="AJ145" s="177"/>
      <c r="AK145" s="177"/>
      <c r="AL145" s="177"/>
      <c r="AM145" s="177"/>
    </row>
    <row r="146" spans="1:39">
      <c r="A146" s="177"/>
      <c r="B146" s="177"/>
      <c r="C146" s="177"/>
      <c r="D146" s="177"/>
      <c r="E146" s="177"/>
      <c r="F146" s="177"/>
      <c r="G146" s="177"/>
      <c r="H146" s="177"/>
      <c r="I146" s="177"/>
      <c r="J146" s="177"/>
      <c r="K146" s="177"/>
      <c r="L146" s="177"/>
      <c r="M146" s="177"/>
      <c r="N146" s="177"/>
      <c r="O146" s="177"/>
      <c r="P146" s="177"/>
      <c r="Q146" s="177"/>
      <c r="R146" s="177"/>
      <c r="S146" s="177"/>
      <c r="T146" s="177"/>
      <c r="U146" s="177"/>
      <c r="V146" s="177"/>
      <c r="W146" s="177"/>
      <c r="X146" s="177"/>
      <c r="Y146" s="177"/>
      <c r="Z146" s="177"/>
      <c r="AA146" s="177"/>
      <c r="AB146" s="177"/>
      <c r="AC146" s="177"/>
      <c r="AD146" s="177"/>
      <c r="AE146" s="177"/>
      <c r="AF146" s="177"/>
      <c r="AG146" s="177"/>
      <c r="AH146" s="177"/>
      <c r="AI146" s="177"/>
      <c r="AJ146" s="177"/>
      <c r="AK146" s="177"/>
      <c r="AL146" s="177"/>
      <c r="AM146" s="177"/>
    </row>
    <row r="147" spans="1:39">
      <c r="A147" s="177"/>
      <c r="B147" s="177"/>
      <c r="C147" s="177"/>
      <c r="D147" s="177"/>
      <c r="E147" s="177"/>
      <c r="F147" s="177"/>
      <c r="G147" s="177"/>
      <c r="H147" s="177"/>
      <c r="I147" s="177"/>
      <c r="J147" s="177"/>
      <c r="K147" s="177"/>
      <c r="L147" s="177"/>
      <c r="M147" s="177"/>
      <c r="N147" s="177"/>
      <c r="O147" s="177"/>
      <c r="P147" s="177"/>
      <c r="Q147" s="177"/>
      <c r="R147" s="177"/>
      <c r="S147" s="177"/>
      <c r="T147" s="177"/>
      <c r="U147" s="177"/>
      <c r="V147" s="177"/>
      <c r="W147" s="177"/>
      <c r="X147" s="177"/>
      <c r="Y147" s="177"/>
      <c r="Z147" s="177"/>
      <c r="AA147" s="177"/>
      <c r="AB147" s="177"/>
      <c r="AC147" s="177"/>
      <c r="AD147" s="177"/>
      <c r="AE147" s="177"/>
      <c r="AF147" s="177"/>
      <c r="AG147" s="177"/>
      <c r="AH147" s="177"/>
      <c r="AI147" s="177"/>
      <c r="AJ147" s="177"/>
      <c r="AK147" s="177"/>
      <c r="AL147" s="177"/>
      <c r="AM147" s="177"/>
    </row>
    <row r="148" spans="1:39">
      <c r="A148" s="177"/>
      <c r="B148" s="177"/>
      <c r="C148" s="177"/>
      <c r="D148" s="177"/>
      <c r="E148" s="177"/>
      <c r="F148" s="177"/>
      <c r="G148" s="177"/>
      <c r="H148" s="177"/>
      <c r="I148" s="177"/>
      <c r="J148" s="177"/>
      <c r="K148" s="177"/>
      <c r="L148" s="177"/>
      <c r="M148" s="177"/>
      <c r="N148" s="177"/>
      <c r="O148" s="177"/>
      <c r="P148" s="177"/>
      <c r="Q148" s="177"/>
      <c r="R148" s="177"/>
      <c r="S148" s="177"/>
      <c r="T148" s="177"/>
      <c r="U148" s="177"/>
      <c r="V148" s="177"/>
      <c r="W148" s="177"/>
      <c r="X148" s="177"/>
      <c r="Y148" s="177"/>
      <c r="Z148" s="177"/>
      <c r="AA148" s="177"/>
      <c r="AB148" s="177"/>
      <c r="AC148" s="177"/>
      <c r="AD148" s="177"/>
      <c r="AE148" s="177"/>
      <c r="AF148" s="177"/>
      <c r="AG148" s="177"/>
      <c r="AH148" s="177"/>
      <c r="AI148" s="177"/>
      <c r="AJ148" s="177"/>
      <c r="AK148" s="177"/>
      <c r="AL148" s="177"/>
      <c r="AM148" s="177"/>
    </row>
    <row r="149" spans="1:39">
      <c r="A149" s="177"/>
      <c r="B149" s="177"/>
      <c r="C149" s="177"/>
      <c r="D149" s="177"/>
      <c r="E149" s="177"/>
      <c r="F149" s="177"/>
      <c r="G149" s="177"/>
      <c r="H149" s="177"/>
      <c r="I149" s="177"/>
      <c r="J149" s="177"/>
      <c r="K149" s="177"/>
      <c r="L149" s="177"/>
      <c r="M149" s="177"/>
      <c r="N149" s="177"/>
      <c r="O149" s="177"/>
      <c r="P149" s="177"/>
      <c r="Q149" s="177"/>
      <c r="R149" s="177"/>
      <c r="S149" s="177"/>
      <c r="T149" s="177"/>
      <c r="U149" s="177"/>
      <c r="V149" s="177"/>
      <c r="W149" s="177"/>
      <c r="X149" s="177"/>
      <c r="Y149" s="177"/>
      <c r="Z149" s="177"/>
      <c r="AA149" s="177"/>
      <c r="AB149" s="177"/>
      <c r="AC149" s="177"/>
      <c r="AD149" s="177"/>
      <c r="AE149" s="177"/>
      <c r="AF149" s="177"/>
      <c r="AG149" s="177"/>
      <c r="AH149" s="177"/>
      <c r="AI149" s="177"/>
      <c r="AJ149" s="177"/>
      <c r="AK149" s="177"/>
      <c r="AL149" s="177"/>
      <c r="AM149" s="177"/>
    </row>
    <row r="150" spans="1:39">
      <c r="A150" s="177"/>
      <c r="B150" s="177"/>
      <c r="C150" s="177"/>
      <c r="D150" s="177"/>
      <c r="E150" s="177"/>
      <c r="F150" s="177"/>
      <c r="G150" s="177"/>
      <c r="H150" s="177"/>
      <c r="I150" s="177"/>
      <c r="J150" s="177"/>
      <c r="K150" s="177"/>
      <c r="L150" s="177"/>
      <c r="M150" s="177"/>
      <c r="N150" s="177"/>
      <c r="O150" s="177"/>
      <c r="P150" s="177"/>
      <c r="Q150" s="177"/>
      <c r="R150" s="177"/>
      <c r="S150" s="177"/>
      <c r="T150" s="177"/>
      <c r="U150" s="177"/>
      <c r="V150" s="177"/>
      <c r="W150" s="177"/>
      <c r="X150" s="177"/>
      <c r="Y150" s="177"/>
      <c r="Z150" s="177"/>
      <c r="AA150" s="177"/>
      <c r="AB150" s="177"/>
      <c r="AC150" s="177"/>
      <c r="AD150" s="177"/>
      <c r="AE150" s="177"/>
      <c r="AF150" s="177"/>
      <c r="AG150" s="177"/>
      <c r="AH150" s="177"/>
      <c r="AI150" s="177"/>
      <c r="AJ150" s="177"/>
      <c r="AK150" s="177"/>
      <c r="AL150" s="177"/>
      <c r="AM150" s="177"/>
    </row>
    <row r="151" spans="1:39">
      <c r="A151" s="177"/>
      <c r="B151" s="177"/>
      <c r="C151" s="177"/>
      <c r="D151" s="177"/>
      <c r="E151" s="177"/>
      <c r="F151" s="177"/>
      <c r="G151" s="177"/>
      <c r="H151" s="177"/>
      <c r="I151" s="177"/>
      <c r="J151" s="177"/>
      <c r="K151" s="177"/>
      <c r="L151" s="177"/>
      <c r="M151" s="177"/>
      <c r="N151" s="177"/>
      <c r="O151" s="177"/>
      <c r="P151" s="177"/>
      <c r="Q151" s="177"/>
      <c r="R151" s="177"/>
      <c r="S151" s="177"/>
      <c r="T151" s="177"/>
      <c r="U151" s="177"/>
      <c r="V151" s="177"/>
      <c r="W151" s="177"/>
      <c r="X151" s="177"/>
      <c r="Y151" s="177"/>
      <c r="Z151" s="177"/>
      <c r="AA151" s="177"/>
      <c r="AB151" s="177"/>
      <c r="AC151" s="177"/>
      <c r="AD151" s="177"/>
      <c r="AE151" s="177"/>
      <c r="AF151" s="177"/>
      <c r="AG151" s="177"/>
      <c r="AH151" s="177"/>
      <c r="AI151" s="177"/>
      <c r="AJ151" s="177"/>
      <c r="AK151" s="177"/>
      <c r="AL151" s="177"/>
      <c r="AM151" s="177"/>
    </row>
    <row r="152" spans="1:39">
      <c r="A152" s="177"/>
      <c r="B152" s="177"/>
      <c r="C152" s="177"/>
      <c r="D152" s="177"/>
      <c r="E152" s="177"/>
      <c r="F152" s="177"/>
      <c r="G152" s="177"/>
      <c r="H152" s="177"/>
      <c r="I152" s="177"/>
      <c r="J152" s="177"/>
      <c r="K152" s="177"/>
      <c r="L152" s="177"/>
      <c r="M152" s="177"/>
      <c r="N152" s="177"/>
      <c r="O152" s="177"/>
      <c r="P152" s="177"/>
      <c r="Q152" s="177"/>
      <c r="R152" s="177"/>
      <c r="S152" s="177"/>
      <c r="T152" s="177"/>
      <c r="U152" s="177"/>
      <c r="V152" s="177"/>
      <c r="W152" s="177"/>
      <c r="X152" s="177"/>
      <c r="Y152" s="177"/>
      <c r="Z152" s="177"/>
      <c r="AA152" s="177"/>
      <c r="AB152" s="177"/>
      <c r="AC152" s="177"/>
      <c r="AD152" s="177"/>
      <c r="AE152" s="177"/>
      <c r="AF152" s="177"/>
      <c r="AG152" s="177"/>
      <c r="AH152" s="177"/>
      <c r="AI152" s="177"/>
      <c r="AJ152" s="177"/>
      <c r="AK152" s="177"/>
      <c r="AL152" s="177"/>
      <c r="AM152" s="177"/>
    </row>
    <row r="153" spans="1:39">
      <c r="A153" s="177"/>
      <c r="B153" s="177"/>
      <c r="C153" s="177"/>
      <c r="D153" s="177"/>
      <c r="E153" s="177"/>
      <c r="F153" s="177"/>
      <c r="G153" s="177"/>
      <c r="H153" s="177"/>
      <c r="I153" s="177"/>
      <c r="J153" s="177"/>
      <c r="K153" s="177"/>
      <c r="L153" s="177"/>
      <c r="M153" s="177"/>
      <c r="N153" s="177"/>
      <c r="O153" s="177"/>
      <c r="P153" s="177"/>
      <c r="Q153" s="177"/>
      <c r="R153" s="177"/>
      <c r="S153" s="177"/>
      <c r="T153" s="177"/>
      <c r="U153" s="177"/>
      <c r="V153" s="177"/>
      <c r="W153" s="177"/>
      <c r="X153" s="177"/>
      <c r="Y153" s="177"/>
      <c r="Z153" s="177"/>
      <c r="AA153" s="177"/>
      <c r="AB153" s="177"/>
      <c r="AC153" s="177"/>
      <c r="AD153" s="177"/>
      <c r="AE153" s="177"/>
      <c r="AF153" s="177"/>
      <c r="AG153" s="177"/>
      <c r="AH153" s="177"/>
      <c r="AI153" s="177"/>
      <c r="AJ153" s="177"/>
      <c r="AK153" s="177"/>
      <c r="AL153" s="177"/>
      <c r="AM153" s="177"/>
    </row>
    <row r="154" spans="1:39">
      <c r="A154" s="177"/>
      <c r="B154" s="177"/>
      <c r="C154" s="177"/>
      <c r="D154" s="177"/>
      <c r="E154" s="177"/>
      <c r="F154" s="177"/>
      <c r="G154" s="177"/>
      <c r="H154" s="177"/>
      <c r="I154" s="177"/>
      <c r="J154" s="177"/>
      <c r="K154" s="177"/>
      <c r="L154" s="177"/>
      <c r="M154" s="177"/>
      <c r="N154" s="177"/>
      <c r="O154" s="177"/>
      <c r="P154" s="177"/>
      <c r="Q154" s="177"/>
      <c r="R154" s="177"/>
      <c r="S154" s="177"/>
      <c r="T154" s="177"/>
      <c r="U154" s="177"/>
      <c r="V154" s="177"/>
      <c r="W154" s="177"/>
      <c r="X154" s="177"/>
      <c r="Y154" s="177"/>
      <c r="Z154" s="177"/>
      <c r="AA154" s="177"/>
      <c r="AB154" s="177"/>
      <c r="AC154" s="177"/>
      <c r="AD154" s="177"/>
      <c r="AE154" s="177"/>
      <c r="AF154" s="177"/>
      <c r="AG154" s="177"/>
      <c r="AH154" s="177"/>
      <c r="AI154" s="177"/>
      <c r="AJ154" s="177"/>
      <c r="AK154" s="177"/>
      <c r="AL154" s="177"/>
      <c r="AM154" s="177"/>
    </row>
    <row r="155" spans="1:39">
      <c r="A155" s="177"/>
      <c r="B155" s="177"/>
      <c r="C155" s="177"/>
      <c r="D155" s="177"/>
      <c r="E155" s="177"/>
      <c r="F155" s="177"/>
      <c r="G155" s="177"/>
      <c r="H155" s="177"/>
      <c r="I155" s="177"/>
      <c r="J155" s="177"/>
      <c r="K155" s="177"/>
      <c r="L155" s="177"/>
      <c r="M155" s="177"/>
      <c r="N155" s="177"/>
      <c r="O155" s="177"/>
      <c r="P155" s="177"/>
      <c r="Q155" s="177"/>
      <c r="R155" s="177"/>
      <c r="S155" s="177"/>
      <c r="T155" s="177"/>
      <c r="U155" s="177"/>
      <c r="V155" s="177"/>
      <c r="W155" s="177"/>
      <c r="X155" s="177"/>
      <c r="Y155" s="177"/>
      <c r="Z155" s="177"/>
      <c r="AA155" s="177"/>
      <c r="AB155" s="177"/>
      <c r="AC155" s="177"/>
      <c r="AD155" s="177"/>
      <c r="AE155" s="177"/>
      <c r="AF155" s="177"/>
      <c r="AG155" s="177"/>
      <c r="AH155" s="177"/>
      <c r="AI155" s="177"/>
      <c r="AJ155" s="177"/>
      <c r="AK155" s="177"/>
      <c r="AL155" s="177"/>
      <c r="AM155" s="177"/>
    </row>
    <row r="156" spans="1:39">
      <c r="A156" s="177"/>
      <c r="B156" s="177"/>
      <c r="C156" s="177"/>
      <c r="D156" s="177"/>
      <c r="E156" s="177"/>
      <c r="F156" s="177"/>
      <c r="G156" s="177"/>
      <c r="H156" s="177"/>
      <c r="I156" s="177"/>
      <c r="J156" s="177"/>
      <c r="K156" s="177"/>
      <c r="L156" s="177"/>
      <c r="M156" s="177"/>
      <c r="N156" s="177"/>
      <c r="O156" s="177"/>
      <c r="P156" s="177"/>
      <c r="Q156" s="177"/>
      <c r="R156" s="177"/>
      <c r="S156" s="177"/>
      <c r="T156" s="177"/>
      <c r="U156" s="177"/>
      <c r="V156" s="177"/>
      <c r="W156" s="177"/>
      <c r="X156" s="177"/>
      <c r="Y156" s="177"/>
      <c r="Z156" s="177"/>
      <c r="AA156" s="177"/>
      <c r="AB156" s="177"/>
      <c r="AC156" s="177"/>
      <c r="AD156" s="177"/>
      <c r="AE156" s="177"/>
      <c r="AF156" s="177"/>
      <c r="AG156" s="177"/>
      <c r="AH156" s="177"/>
      <c r="AI156" s="177"/>
      <c r="AJ156" s="177"/>
      <c r="AK156" s="177"/>
      <c r="AL156" s="177"/>
      <c r="AM156" s="177"/>
    </row>
    <row r="157" spans="1:39">
      <c r="A157" s="177"/>
      <c r="B157" s="177"/>
      <c r="C157" s="177"/>
      <c r="D157" s="177"/>
      <c r="E157" s="177"/>
      <c r="F157" s="177"/>
      <c r="G157" s="177"/>
      <c r="H157" s="177"/>
      <c r="I157" s="177"/>
      <c r="J157" s="177"/>
      <c r="K157" s="177"/>
      <c r="L157" s="177"/>
      <c r="M157" s="177"/>
      <c r="N157" s="177"/>
      <c r="O157" s="177"/>
      <c r="P157" s="177"/>
      <c r="Q157" s="177"/>
      <c r="R157" s="177"/>
      <c r="S157" s="177"/>
      <c r="T157" s="177"/>
      <c r="U157" s="177"/>
      <c r="V157" s="177"/>
      <c r="W157" s="177"/>
      <c r="X157" s="177"/>
      <c r="Y157" s="177"/>
      <c r="Z157" s="177"/>
      <c r="AA157" s="177"/>
      <c r="AB157" s="177"/>
      <c r="AC157" s="177"/>
      <c r="AD157" s="177"/>
      <c r="AE157" s="177"/>
      <c r="AF157" s="177"/>
      <c r="AG157" s="177"/>
      <c r="AH157" s="177"/>
      <c r="AI157" s="177"/>
      <c r="AJ157" s="177"/>
      <c r="AK157" s="177"/>
      <c r="AL157" s="177"/>
      <c r="AM157" s="177"/>
    </row>
    <row r="158" spans="1:39">
      <c r="A158" s="177"/>
      <c r="B158" s="177"/>
      <c r="C158" s="177"/>
      <c r="D158" s="177"/>
      <c r="E158" s="177"/>
      <c r="F158" s="177"/>
      <c r="G158" s="177"/>
      <c r="H158" s="177"/>
      <c r="I158" s="177"/>
      <c r="J158" s="177"/>
      <c r="K158" s="177"/>
      <c r="L158" s="177"/>
      <c r="M158" s="177"/>
      <c r="N158" s="177"/>
      <c r="O158" s="177"/>
      <c r="P158" s="177"/>
      <c r="Q158" s="177"/>
      <c r="R158" s="177"/>
      <c r="S158" s="177"/>
      <c r="T158" s="177"/>
      <c r="U158" s="177"/>
      <c r="V158" s="177"/>
      <c r="W158" s="177"/>
      <c r="X158" s="177"/>
      <c r="Y158" s="177"/>
      <c r="Z158" s="177"/>
      <c r="AA158" s="177"/>
      <c r="AB158" s="177"/>
      <c r="AC158" s="177"/>
      <c r="AD158" s="177"/>
      <c r="AE158" s="177"/>
      <c r="AF158" s="177"/>
      <c r="AG158" s="177"/>
      <c r="AH158" s="177"/>
      <c r="AI158" s="177"/>
      <c r="AJ158" s="177"/>
      <c r="AK158" s="177"/>
      <c r="AL158" s="177"/>
      <c r="AM158" s="177"/>
    </row>
    <row r="159" spans="1:39">
      <c r="A159" s="177"/>
      <c r="B159" s="177"/>
      <c r="C159" s="177"/>
      <c r="D159" s="177"/>
      <c r="E159" s="177"/>
      <c r="F159" s="177"/>
      <c r="G159" s="177"/>
      <c r="H159" s="177"/>
      <c r="I159" s="177"/>
      <c r="J159" s="177"/>
      <c r="K159" s="177"/>
      <c r="L159" s="177"/>
      <c r="M159" s="177"/>
      <c r="N159" s="177"/>
      <c r="O159" s="177"/>
      <c r="P159" s="177"/>
      <c r="Q159" s="177"/>
      <c r="R159" s="177"/>
      <c r="S159" s="177"/>
      <c r="T159" s="177"/>
      <c r="U159" s="177"/>
      <c r="V159" s="177"/>
      <c r="W159" s="177"/>
      <c r="X159" s="177"/>
      <c r="Y159" s="177"/>
      <c r="Z159" s="177"/>
      <c r="AA159" s="177"/>
      <c r="AB159" s="177"/>
      <c r="AC159" s="177"/>
      <c r="AD159" s="177"/>
      <c r="AE159" s="177"/>
      <c r="AF159" s="177"/>
      <c r="AG159" s="177"/>
      <c r="AH159" s="177"/>
      <c r="AI159" s="177"/>
      <c r="AJ159" s="177"/>
      <c r="AK159" s="177"/>
      <c r="AL159" s="177"/>
      <c r="AM159" s="177"/>
    </row>
    <row r="160" spans="1:39">
      <c r="A160" s="177"/>
      <c r="B160" s="177"/>
      <c r="C160" s="177"/>
      <c r="D160" s="177"/>
      <c r="E160" s="177"/>
      <c r="F160" s="177"/>
      <c r="G160" s="177"/>
      <c r="H160" s="177"/>
      <c r="I160" s="177"/>
      <c r="J160" s="177"/>
      <c r="K160" s="177"/>
      <c r="L160" s="177"/>
      <c r="M160" s="177"/>
      <c r="N160" s="177"/>
      <c r="O160" s="177"/>
      <c r="P160" s="177"/>
      <c r="Q160" s="177"/>
      <c r="R160" s="177"/>
      <c r="S160" s="177"/>
      <c r="T160" s="177"/>
      <c r="U160" s="177"/>
      <c r="V160" s="177"/>
      <c r="W160" s="177"/>
      <c r="X160" s="177"/>
      <c r="Y160" s="177"/>
      <c r="Z160" s="177"/>
      <c r="AA160" s="177"/>
      <c r="AB160" s="177"/>
      <c r="AC160" s="177"/>
      <c r="AD160" s="177"/>
      <c r="AE160" s="177"/>
      <c r="AF160" s="177"/>
      <c r="AG160" s="177"/>
      <c r="AH160" s="177"/>
      <c r="AI160" s="177"/>
      <c r="AJ160" s="177"/>
      <c r="AK160" s="177"/>
      <c r="AL160" s="177"/>
      <c r="AM160" s="177"/>
    </row>
    <row r="161" spans="1:39">
      <c r="A161" s="177"/>
      <c r="B161" s="177"/>
      <c r="C161" s="177"/>
      <c r="D161" s="177"/>
      <c r="E161" s="177"/>
      <c r="F161" s="177"/>
      <c r="G161" s="177"/>
      <c r="H161" s="177"/>
      <c r="I161" s="177"/>
      <c r="J161" s="177"/>
      <c r="K161" s="177"/>
      <c r="L161" s="177"/>
      <c r="M161" s="177"/>
      <c r="N161" s="177"/>
      <c r="O161" s="177"/>
      <c r="P161" s="177"/>
      <c r="Q161" s="177"/>
      <c r="R161" s="177"/>
      <c r="S161" s="177"/>
      <c r="T161" s="177"/>
      <c r="U161" s="177"/>
      <c r="V161" s="177"/>
      <c r="W161" s="177"/>
      <c r="X161" s="177"/>
      <c r="Y161" s="177"/>
      <c r="Z161" s="177"/>
      <c r="AA161" s="177"/>
      <c r="AB161" s="177"/>
      <c r="AC161" s="177"/>
      <c r="AD161" s="177"/>
      <c r="AE161" s="177"/>
      <c r="AF161" s="177"/>
      <c r="AG161" s="177"/>
      <c r="AH161" s="177"/>
      <c r="AI161" s="177"/>
      <c r="AJ161" s="177"/>
      <c r="AK161" s="177"/>
      <c r="AL161" s="177"/>
      <c r="AM161" s="177"/>
    </row>
    <row r="162" spans="1:39">
      <c r="A162" s="177"/>
      <c r="B162" s="177"/>
      <c r="C162" s="177"/>
      <c r="D162" s="177"/>
      <c r="E162" s="177"/>
      <c r="F162" s="177"/>
      <c r="G162" s="177"/>
      <c r="H162" s="177"/>
      <c r="I162" s="177"/>
      <c r="J162" s="177"/>
      <c r="K162" s="177"/>
      <c r="L162" s="177"/>
      <c r="M162" s="177"/>
      <c r="N162" s="177"/>
      <c r="O162" s="177"/>
      <c r="P162" s="177"/>
      <c r="Q162" s="177"/>
      <c r="R162" s="177"/>
      <c r="S162" s="177"/>
      <c r="T162" s="177"/>
      <c r="U162" s="177"/>
      <c r="V162" s="177"/>
      <c r="W162" s="177"/>
      <c r="X162" s="177"/>
      <c r="Y162" s="177"/>
      <c r="Z162" s="177"/>
      <c r="AA162" s="177"/>
      <c r="AB162" s="177"/>
      <c r="AC162" s="177"/>
      <c r="AD162" s="177"/>
      <c r="AE162" s="177"/>
      <c r="AF162" s="177"/>
      <c r="AG162" s="177"/>
      <c r="AH162" s="177"/>
      <c r="AI162" s="177"/>
      <c r="AJ162" s="177"/>
      <c r="AK162" s="177"/>
      <c r="AL162" s="177"/>
      <c r="AM162" s="177"/>
    </row>
    <row r="163" spans="1:39">
      <c r="A163" s="177"/>
      <c r="B163" s="177"/>
      <c r="C163" s="177"/>
      <c r="D163" s="177"/>
      <c r="E163" s="177"/>
      <c r="F163" s="177"/>
      <c r="G163" s="177"/>
      <c r="H163" s="177"/>
      <c r="I163" s="177"/>
      <c r="J163" s="177"/>
      <c r="K163" s="177"/>
      <c r="L163" s="177"/>
      <c r="M163" s="177"/>
      <c r="N163" s="177"/>
      <c r="O163" s="177"/>
      <c r="P163" s="177"/>
      <c r="Q163" s="177"/>
      <c r="R163" s="177"/>
      <c r="S163" s="177"/>
      <c r="T163" s="177"/>
      <c r="U163" s="177"/>
      <c r="V163" s="177"/>
      <c r="W163" s="177"/>
      <c r="X163" s="177"/>
      <c r="Y163" s="177"/>
      <c r="Z163" s="177"/>
      <c r="AA163" s="177"/>
      <c r="AB163" s="177"/>
      <c r="AC163" s="177"/>
      <c r="AD163" s="177"/>
      <c r="AE163" s="177"/>
      <c r="AF163" s="177"/>
      <c r="AG163" s="177"/>
      <c r="AH163" s="177"/>
      <c r="AI163" s="177"/>
      <c r="AJ163" s="177"/>
      <c r="AK163" s="177"/>
      <c r="AL163" s="177"/>
      <c r="AM163" s="177"/>
    </row>
    <row r="164" spans="1:39">
      <c r="A164" s="177"/>
      <c r="B164" s="177"/>
      <c r="C164" s="177"/>
      <c r="D164" s="177"/>
      <c r="E164" s="177"/>
      <c r="F164" s="177"/>
      <c r="G164" s="177"/>
      <c r="H164" s="177"/>
      <c r="I164" s="177"/>
      <c r="J164" s="177"/>
      <c r="K164" s="177"/>
      <c r="L164" s="177"/>
      <c r="M164" s="177"/>
      <c r="N164" s="177"/>
      <c r="O164" s="177"/>
      <c r="P164" s="177"/>
      <c r="Q164" s="177"/>
      <c r="R164" s="177"/>
      <c r="S164" s="177"/>
      <c r="T164" s="177"/>
      <c r="U164" s="177"/>
      <c r="V164" s="177"/>
      <c r="W164" s="177"/>
      <c r="X164" s="177"/>
      <c r="Y164" s="177"/>
      <c r="Z164" s="177"/>
      <c r="AA164" s="177"/>
      <c r="AB164" s="177"/>
      <c r="AC164" s="177"/>
      <c r="AD164" s="177"/>
      <c r="AE164" s="177"/>
      <c r="AF164" s="177"/>
      <c r="AG164" s="177"/>
      <c r="AH164" s="177"/>
      <c r="AI164" s="177"/>
      <c r="AJ164" s="177"/>
      <c r="AK164" s="177"/>
      <c r="AL164" s="177"/>
      <c r="AM164" s="177"/>
    </row>
    <row r="165" spans="1:39">
      <c r="A165" s="177"/>
      <c r="B165" s="177"/>
      <c r="C165" s="177"/>
      <c r="D165" s="177"/>
      <c r="E165" s="177"/>
      <c r="F165" s="177"/>
      <c r="G165" s="177"/>
      <c r="H165" s="177"/>
      <c r="I165" s="177"/>
      <c r="J165" s="177"/>
      <c r="K165" s="177"/>
      <c r="L165" s="177"/>
      <c r="M165" s="177"/>
      <c r="N165" s="177"/>
      <c r="O165" s="177"/>
      <c r="P165" s="177"/>
      <c r="Q165" s="177"/>
      <c r="R165" s="177"/>
      <c r="S165" s="177"/>
      <c r="T165" s="177"/>
      <c r="U165" s="177"/>
      <c r="V165" s="177"/>
      <c r="W165" s="177"/>
      <c r="X165" s="177"/>
      <c r="Y165" s="177"/>
      <c r="Z165" s="177"/>
      <c r="AA165" s="177"/>
      <c r="AB165" s="177"/>
      <c r="AC165" s="177"/>
      <c r="AD165" s="177"/>
      <c r="AE165" s="177"/>
      <c r="AF165" s="177"/>
      <c r="AG165" s="177"/>
      <c r="AH165" s="177"/>
      <c r="AI165" s="177"/>
      <c r="AJ165" s="177"/>
      <c r="AK165" s="177"/>
      <c r="AL165" s="177"/>
      <c r="AM165" s="177"/>
    </row>
    <row r="166" spans="1:39">
      <c r="A166" s="177"/>
      <c r="B166" s="177"/>
      <c r="C166" s="177"/>
      <c r="D166" s="177"/>
      <c r="E166" s="177"/>
      <c r="F166" s="177"/>
      <c r="G166" s="177"/>
      <c r="H166" s="177"/>
      <c r="I166" s="177"/>
      <c r="J166" s="177"/>
      <c r="K166" s="177"/>
      <c r="L166" s="177"/>
      <c r="M166" s="177"/>
      <c r="N166" s="177"/>
      <c r="O166" s="177"/>
      <c r="P166" s="177"/>
      <c r="Q166" s="177"/>
      <c r="R166" s="177"/>
      <c r="S166" s="177"/>
      <c r="T166" s="177"/>
      <c r="U166" s="177"/>
      <c r="V166" s="177"/>
      <c r="W166" s="177"/>
      <c r="X166" s="177"/>
      <c r="Y166" s="177"/>
      <c r="Z166" s="177"/>
      <c r="AA166" s="177"/>
      <c r="AB166" s="177"/>
      <c r="AC166" s="177"/>
      <c r="AD166" s="177"/>
      <c r="AE166" s="177"/>
      <c r="AF166" s="177"/>
      <c r="AG166" s="177"/>
      <c r="AH166" s="177"/>
      <c r="AI166" s="177"/>
      <c r="AJ166" s="177"/>
      <c r="AK166" s="177"/>
      <c r="AL166" s="177"/>
      <c r="AM166" s="177"/>
    </row>
    <row r="167" spans="1:39">
      <c r="A167" s="177"/>
      <c r="B167" s="177"/>
      <c r="C167" s="177"/>
      <c r="D167" s="177"/>
      <c r="E167" s="177"/>
      <c r="F167" s="177"/>
      <c r="G167" s="177"/>
      <c r="H167" s="177"/>
      <c r="I167" s="177"/>
      <c r="J167" s="177"/>
      <c r="K167" s="177"/>
      <c r="L167" s="177"/>
      <c r="M167" s="177"/>
      <c r="N167" s="177"/>
      <c r="O167" s="177"/>
      <c r="P167" s="177"/>
      <c r="Q167" s="177"/>
      <c r="R167" s="177"/>
      <c r="S167" s="177"/>
      <c r="T167" s="177"/>
      <c r="U167" s="177"/>
      <c r="V167" s="177"/>
      <c r="W167" s="177"/>
      <c r="X167" s="177"/>
      <c r="Y167" s="177"/>
      <c r="Z167" s="177"/>
      <c r="AA167" s="177"/>
      <c r="AB167" s="177"/>
      <c r="AC167" s="177"/>
      <c r="AD167" s="177"/>
      <c r="AE167" s="177"/>
      <c r="AF167" s="177"/>
      <c r="AG167" s="177"/>
      <c r="AH167" s="177"/>
      <c r="AI167" s="177"/>
      <c r="AJ167" s="177"/>
      <c r="AK167" s="177"/>
      <c r="AL167" s="177"/>
      <c r="AM167" s="177"/>
    </row>
    <row r="168" spans="1:39">
      <c r="A168" s="177"/>
      <c r="B168" s="177"/>
      <c r="C168" s="177"/>
      <c r="D168" s="177"/>
      <c r="E168" s="177"/>
      <c r="F168" s="177"/>
      <c r="G168" s="177"/>
      <c r="H168" s="177"/>
      <c r="I168" s="177"/>
      <c r="J168" s="177"/>
      <c r="K168" s="177"/>
      <c r="L168" s="177"/>
      <c r="M168" s="177"/>
      <c r="N168" s="177"/>
      <c r="O168" s="177"/>
      <c r="P168" s="177"/>
      <c r="Q168" s="177"/>
      <c r="R168" s="177"/>
      <c r="S168" s="177"/>
      <c r="T168" s="177"/>
      <c r="U168" s="177"/>
      <c r="V168" s="177"/>
      <c r="W168" s="177"/>
      <c r="X168" s="177"/>
      <c r="Y168" s="177"/>
      <c r="Z168" s="177"/>
      <c r="AA168" s="177"/>
      <c r="AB168" s="177"/>
      <c r="AC168" s="177"/>
      <c r="AD168" s="177"/>
      <c r="AE168" s="177"/>
      <c r="AF168" s="177"/>
      <c r="AG168" s="177"/>
      <c r="AH168" s="177"/>
      <c r="AI168" s="177"/>
      <c r="AJ168" s="177"/>
      <c r="AK168" s="177"/>
      <c r="AL168" s="177"/>
      <c r="AM168" s="177"/>
    </row>
    <row r="169" spans="1:39">
      <c r="A169" s="177"/>
      <c r="B169" s="177"/>
      <c r="C169" s="177"/>
      <c r="D169" s="177"/>
      <c r="E169" s="177"/>
      <c r="F169" s="177"/>
      <c r="G169" s="177"/>
      <c r="H169" s="177"/>
      <c r="I169" s="177"/>
      <c r="J169" s="177"/>
      <c r="K169" s="177"/>
      <c r="L169" s="177"/>
      <c r="M169" s="177"/>
      <c r="N169" s="177"/>
      <c r="O169" s="177"/>
      <c r="P169" s="177"/>
      <c r="Q169" s="177"/>
      <c r="R169" s="177"/>
      <c r="S169" s="177"/>
      <c r="T169" s="177"/>
      <c r="U169" s="177"/>
      <c r="V169" s="177"/>
      <c r="W169" s="177"/>
      <c r="X169" s="177"/>
      <c r="Y169" s="177"/>
      <c r="Z169" s="177"/>
      <c r="AA169" s="177"/>
      <c r="AB169" s="177"/>
      <c r="AC169" s="177"/>
      <c r="AD169" s="177"/>
      <c r="AE169" s="177"/>
      <c r="AF169" s="177"/>
      <c r="AG169" s="177"/>
      <c r="AH169" s="177"/>
      <c r="AI169" s="177"/>
      <c r="AJ169" s="177"/>
      <c r="AK169" s="177"/>
      <c r="AL169" s="177"/>
      <c r="AM169" s="177"/>
    </row>
    <row r="170" spans="1:39">
      <c r="A170" s="177"/>
      <c r="B170" s="177"/>
      <c r="C170" s="177"/>
      <c r="D170" s="177"/>
      <c r="E170" s="177"/>
      <c r="F170" s="177"/>
      <c r="G170" s="177"/>
      <c r="H170" s="177"/>
      <c r="I170" s="177"/>
      <c r="J170" s="177"/>
      <c r="K170" s="177"/>
      <c r="L170" s="177"/>
      <c r="M170" s="177"/>
      <c r="N170" s="177"/>
      <c r="O170" s="177"/>
      <c r="P170" s="177"/>
      <c r="Q170" s="177"/>
      <c r="R170" s="177"/>
      <c r="S170" s="177"/>
      <c r="T170" s="177"/>
      <c r="U170" s="177"/>
      <c r="V170" s="177"/>
      <c r="W170" s="177"/>
      <c r="X170" s="177"/>
      <c r="Y170" s="177"/>
      <c r="Z170" s="177"/>
      <c r="AA170" s="177"/>
      <c r="AB170" s="177"/>
      <c r="AC170" s="177"/>
      <c r="AD170" s="177"/>
      <c r="AE170" s="177"/>
      <c r="AF170" s="177"/>
      <c r="AG170" s="177"/>
      <c r="AH170" s="177"/>
      <c r="AI170" s="177"/>
      <c r="AJ170" s="177"/>
      <c r="AK170" s="177"/>
      <c r="AL170" s="177"/>
      <c r="AM170" s="177"/>
    </row>
    <row r="171" spans="1:39">
      <c r="A171" s="177"/>
      <c r="B171" s="177"/>
      <c r="C171" s="177"/>
      <c r="D171" s="177"/>
      <c r="E171" s="177"/>
      <c r="F171" s="177"/>
      <c r="G171" s="177"/>
      <c r="H171" s="177"/>
      <c r="I171" s="177"/>
      <c r="J171" s="177"/>
      <c r="K171" s="177"/>
      <c r="L171" s="177"/>
      <c r="M171" s="177"/>
      <c r="N171" s="177"/>
      <c r="O171" s="177"/>
      <c r="P171" s="177"/>
      <c r="Q171" s="177"/>
      <c r="R171" s="177"/>
      <c r="S171" s="177"/>
      <c r="T171" s="177"/>
      <c r="U171" s="177"/>
      <c r="V171" s="177"/>
      <c r="W171" s="177"/>
      <c r="X171" s="177"/>
      <c r="Y171" s="177"/>
      <c r="Z171" s="177"/>
      <c r="AA171" s="177"/>
      <c r="AB171" s="177"/>
      <c r="AC171" s="177"/>
      <c r="AD171" s="177"/>
      <c r="AE171" s="177"/>
      <c r="AF171" s="177"/>
      <c r="AG171" s="177"/>
      <c r="AH171" s="177"/>
      <c r="AI171" s="177"/>
      <c r="AJ171" s="177"/>
      <c r="AK171" s="177"/>
      <c r="AL171" s="177"/>
      <c r="AM171" s="177"/>
    </row>
    <row r="172" spans="1:39">
      <c r="A172" s="177"/>
      <c r="B172" s="177"/>
      <c r="C172" s="177"/>
      <c r="D172" s="177"/>
      <c r="E172" s="177"/>
      <c r="F172" s="177"/>
      <c r="G172" s="177"/>
      <c r="H172" s="177"/>
      <c r="I172" s="177"/>
      <c r="J172" s="177"/>
      <c r="K172" s="177"/>
      <c r="L172" s="177"/>
      <c r="M172" s="177"/>
      <c r="N172" s="177"/>
      <c r="O172" s="177"/>
      <c r="P172" s="177"/>
      <c r="Q172" s="177"/>
      <c r="R172" s="177"/>
      <c r="S172" s="177"/>
      <c r="T172" s="177"/>
      <c r="U172" s="177"/>
      <c r="V172" s="177"/>
      <c r="W172" s="177"/>
      <c r="X172" s="177"/>
      <c r="Y172" s="177"/>
      <c r="Z172" s="177"/>
      <c r="AA172" s="177"/>
      <c r="AB172" s="177"/>
      <c r="AC172" s="177"/>
      <c r="AD172" s="177"/>
      <c r="AE172" s="177"/>
      <c r="AF172" s="177"/>
      <c r="AG172" s="177"/>
      <c r="AH172" s="177"/>
      <c r="AI172" s="177"/>
      <c r="AJ172" s="177"/>
      <c r="AK172" s="177"/>
      <c r="AL172" s="177"/>
      <c r="AM172" s="177"/>
    </row>
    <row r="173" spans="1:39">
      <c r="A173" s="177"/>
      <c r="B173" s="177"/>
      <c r="C173" s="177"/>
      <c r="D173" s="177"/>
      <c r="E173" s="177"/>
      <c r="F173" s="177"/>
      <c r="G173" s="177"/>
      <c r="H173" s="177"/>
      <c r="I173" s="177"/>
      <c r="J173" s="177"/>
      <c r="K173" s="177"/>
      <c r="L173" s="177"/>
      <c r="M173" s="177"/>
      <c r="N173" s="177"/>
      <c r="O173" s="177"/>
      <c r="P173" s="177"/>
      <c r="Q173" s="177"/>
      <c r="R173" s="177"/>
      <c r="S173" s="177"/>
      <c r="T173" s="177"/>
      <c r="U173" s="177"/>
      <c r="V173" s="177"/>
      <c r="W173" s="177"/>
      <c r="X173" s="177"/>
      <c r="Y173" s="177"/>
      <c r="Z173" s="177"/>
      <c r="AA173" s="177"/>
      <c r="AB173" s="177"/>
      <c r="AC173" s="177"/>
      <c r="AD173" s="177"/>
      <c r="AE173" s="177"/>
      <c r="AF173" s="177"/>
      <c r="AG173" s="177"/>
      <c r="AH173" s="177"/>
      <c r="AI173" s="177"/>
      <c r="AJ173" s="177"/>
      <c r="AK173" s="177"/>
      <c r="AL173" s="177"/>
      <c r="AM173" s="177"/>
    </row>
    <row r="174" spans="1:39">
      <c r="A174" s="177"/>
      <c r="B174" s="177"/>
      <c r="C174" s="177"/>
      <c r="D174" s="177"/>
      <c r="E174" s="177"/>
      <c r="F174" s="177"/>
      <c r="G174" s="177"/>
      <c r="H174" s="177"/>
      <c r="I174" s="177"/>
      <c r="J174" s="177"/>
      <c r="K174" s="177"/>
      <c r="L174" s="177"/>
      <c r="M174" s="177"/>
      <c r="N174" s="177"/>
      <c r="O174" s="177"/>
      <c r="P174" s="177"/>
      <c r="Q174" s="177"/>
      <c r="R174" s="177"/>
      <c r="S174" s="177"/>
      <c r="T174" s="177"/>
      <c r="U174" s="177"/>
      <c r="V174" s="177"/>
      <c r="W174" s="177"/>
      <c r="X174" s="177"/>
      <c r="Y174" s="177"/>
      <c r="Z174" s="177"/>
      <c r="AA174" s="177"/>
      <c r="AB174" s="177"/>
      <c r="AC174" s="177"/>
      <c r="AD174" s="177"/>
      <c r="AE174" s="177"/>
      <c r="AF174" s="177"/>
      <c r="AG174" s="177"/>
      <c r="AH174" s="177"/>
      <c r="AI174" s="177"/>
      <c r="AJ174" s="177"/>
      <c r="AK174" s="177"/>
      <c r="AL174" s="177"/>
      <c r="AM174" s="177"/>
    </row>
    <row r="175" spans="1:39">
      <c r="A175" s="177"/>
      <c r="B175" s="177"/>
      <c r="C175" s="177"/>
      <c r="D175" s="177"/>
      <c r="E175" s="177"/>
      <c r="F175" s="177"/>
      <c r="G175" s="177"/>
      <c r="H175" s="177"/>
      <c r="I175" s="177"/>
      <c r="J175" s="177"/>
      <c r="K175" s="177"/>
      <c r="L175" s="177"/>
      <c r="M175" s="177"/>
      <c r="N175" s="177"/>
      <c r="O175" s="177"/>
      <c r="P175" s="177"/>
      <c r="Q175" s="177"/>
      <c r="R175" s="177"/>
      <c r="S175" s="177"/>
      <c r="T175" s="177"/>
      <c r="U175" s="177"/>
      <c r="V175" s="177"/>
      <c r="W175" s="177"/>
      <c r="X175" s="177"/>
      <c r="Y175" s="177"/>
      <c r="Z175" s="177"/>
      <c r="AA175" s="177"/>
      <c r="AB175" s="177"/>
      <c r="AC175" s="177"/>
      <c r="AD175" s="177"/>
      <c r="AE175" s="177"/>
      <c r="AF175" s="177"/>
      <c r="AG175" s="177"/>
      <c r="AH175" s="177"/>
      <c r="AI175" s="177"/>
      <c r="AJ175" s="177"/>
      <c r="AK175" s="177"/>
      <c r="AL175" s="177"/>
      <c r="AM175" s="177"/>
    </row>
    <row r="176" spans="1:39">
      <c r="A176" s="177"/>
      <c r="B176" s="177"/>
      <c r="C176" s="177"/>
      <c r="D176" s="177"/>
      <c r="E176" s="177"/>
      <c r="F176" s="177"/>
      <c r="G176" s="177"/>
      <c r="H176" s="177"/>
      <c r="I176" s="177"/>
      <c r="J176" s="177"/>
      <c r="K176" s="177"/>
      <c r="L176" s="177"/>
      <c r="M176" s="177"/>
      <c r="N176" s="177"/>
      <c r="O176" s="177"/>
      <c r="P176" s="177"/>
      <c r="Q176" s="177"/>
      <c r="R176" s="177"/>
      <c r="S176" s="177"/>
      <c r="T176" s="177"/>
      <c r="U176" s="177"/>
      <c r="V176" s="177"/>
      <c r="W176" s="177"/>
      <c r="X176" s="177"/>
      <c r="Y176" s="177"/>
      <c r="Z176" s="177"/>
      <c r="AA176" s="177"/>
      <c r="AB176" s="177"/>
      <c r="AC176" s="177"/>
      <c r="AD176" s="177"/>
      <c r="AE176" s="177"/>
      <c r="AF176" s="177"/>
      <c r="AG176" s="177"/>
      <c r="AH176" s="177"/>
      <c r="AI176" s="177"/>
      <c r="AJ176" s="177"/>
      <c r="AK176" s="177"/>
      <c r="AL176" s="177"/>
      <c r="AM176" s="177"/>
    </row>
    <row r="177" spans="1:39">
      <c r="A177" s="177"/>
      <c r="B177" s="177"/>
      <c r="C177" s="177"/>
      <c r="D177" s="177"/>
      <c r="E177" s="177"/>
      <c r="F177" s="177"/>
      <c r="G177" s="177"/>
      <c r="H177" s="177"/>
      <c r="I177" s="177"/>
      <c r="J177" s="177"/>
      <c r="K177" s="177"/>
      <c r="L177" s="177"/>
      <c r="M177" s="177"/>
      <c r="N177" s="177"/>
      <c r="O177" s="177"/>
      <c r="P177" s="177"/>
      <c r="Q177" s="177"/>
      <c r="R177" s="177"/>
      <c r="S177" s="177"/>
      <c r="T177" s="177"/>
      <c r="U177" s="177"/>
      <c r="V177" s="177"/>
      <c r="W177" s="177"/>
      <c r="X177" s="177"/>
      <c r="Y177" s="177"/>
      <c r="Z177" s="177"/>
      <c r="AA177" s="177"/>
      <c r="AB177" s="177"/>
      <c r="AC177" s="177"/>
      <c r="AD177" s="177"/>
      <c r="AE177" s="177"/>
      <c r="AF177" s="177"/>
      <c r="AG177" s="177"/>
      <c r="AH177" s="177"/>
      <c r="AI177" s="177"/>
      <c r="AJ177" s="177"/>
      <c r="AK177" s="177"/>
      <c r="AL177" s="177"/>
      <c r="AM177" s="177"/>
    </row>
    <row r="178" spans="1:39">
      <c r="A178" s="177"/>
      <c r="B178" s="177"/>
      <c r="C178" s="177"/>
      <c r="D178" s="177"/>
      <c r="E178" s="177"/>
      <c r="F178" s="177"/>
      <c r="G178" s="177"/>
      <c r="H178" s="177"/>
      <c r="I178" s="177"/>
      <c r="J178" s="177"/>
      <c r="K178" s="177"/>
      <c r="L178" s="177"/>
      <c r="M178" s="177"/>
      <c r="N178" s="177"/>
      <c r="O178" s="177"/>
      <c r="P178" s="177"/>
      <c r="Q178" s="177"/>
      <c r="R178" s="177"/>
      <c r="S178" s="177"/>
      <c r="T178" s="177"/>
      <c r="U178" s="177"/>
      <c r="V178" s="177"/>
      <c r="W178" s="177"/>
      <c r="X178" s="177"/>
      <c r="Y178" s="177"/>
      <c r="Z178" s="177"/>
      <c r="AA178" s="177"/>
      <c r="AB178" s="177"/>
      <c r="AC178" s="177"/>
      <c r="AD178" s="177"/>
      <c r="AE178" s="177"/>
      <c r="AF178" s="177"/>
      <c r="AG178" s="177"/>
      <c r="AH178" s="177"/>
      <c r="AI178" s="177"/>
      <c r="AJ178" s="177"/>
      <c r="AK178" s="177"/>
      <c r="AL178" s="177"/>
      <c r="AM178" s="177"/>
    </row>
    <row r="179" spans="1:39">
      <c r="A179" s="177"/>
      <c r="B179" s="177"/>
      <c r="C179" s="177"/>
      <c r="D179" s="177"/>
      <c r="E179" s="177"/>
      <c r="F179" s="177"/>
      <c r="G179" s="177"/>
      <c r="H179" s="177"/>
      <c r="I179" s="177"/>
      <c r="J179" s="177"/>
      <c r="K179" s="177"/>
      <c r="L179" s="177"/>
      <c r="M179" s="177"/>
      <c r="N179" s="177"/>
      <c r="O179" s="177"/>
      <c r="P179" s="177"/>
      <c r="Q179" s="177"/>
      <c r="R179" s="177"/>
      <c r="S179" s="177"/>
      <c r="T179" s="177"/>
      <c r="U179" s="177"/>
      <c r="V179" s="177"/>
      <c r="W179" s="177"/>
      <c r="X179" s="177"/>
      <c r="Y179" s="177"/>
      <c r="Z179" s="177"/>
      <c r="AA179" s="177"/>
      <c r="AB179" s="177"/>
      <c r="AC179" s="177"/>
      <c r="AD179" s="177"/>
      <c r="AE179" s="177"/>
      <c r="AF179" s="177"/>
      <c r="AG179" s="177"/>
      <c r="AH179" s="177"/>
      <c r="AI179" s="177"/>
      <c r="AJ179" s="177"/>
      <c r="AK179" s="177"/>
      <c r="AL179" s="177"/>
      <c r="AM179" s="177"/>
    </row>
    <row r="180" spans="1:39">
      <c r="A180" s="177"/>
      <c r="B180" s="177"/>
      <c r="C180" s="177"/>
      <c r="D180" s="177"/>
      <c r="E180" s="177"/>
      <c r="F180" s="177"/>
      <c r="G180" s="177"/>
      <c r="H180" s="177"/>
      <c r="I180" s="177"/>
      <c r="J180" s="177"/>
      <c r="K180" s="177"/>
      <c r="L180" s="177"/>
      <c r="M180" s="177"/>
      <c r="N180" s="177"/>
      <c r="O180" s="177"/>
      <c r="P180" s="177"/>
      <c r="Q180" s="177"/>
      <c r="R180" s="177"/>
      <c r="S180" s="177"/>
      <c r="T180" s="177"/>
      <c r="U180" s="177"/>
      <c r="V180" s="177"/>
      <c r="W180" s="177"/>
      <c r="X180" s="177"/>
      <c r="Y180" s="177"/>
      <c r="Z180" s="177"/>
      <c r="AA180" s="177"/>
      <c r="AB180" s="177"/>
      <c r="AC180" s="177"/>
      <c r="AD180" s="177"/>
      <c r="AE180" s="177"/>
      <c r="AF180" s="177"/>
      <c r="AG180" s="177"/>
      <c r="AH180" s="177"/>
      <c r="AI180" s="177"/>
      <c r="AJ180" s="177"/>
      <c r="AK180" s="177"/>
      <c r="AL180" s="177"/>
      <c r="AM180" s="177"/>
    </row>
    <row r="181" spans="1:39">
      <c r="A181" s="177"/>
      <c r="B181" s="177"/>
      <c r="C181" s="177"/>
      <c r="D181" s="177"/>
      <c r="E181" s="177"/>
      <c r="F181" s="177"/>
      <c r="G181" s="177"/>
      <c r="H181" s="177"/>
      <c r="I181" s="177"/>
      <c r="J181" s="177"/>
      <c r="K181" s="177"/>
      <c r="L181" s="177"/>
      <c r="M181" s="177"/>
      <c r="N181" s="177"/>
      <c r="O181" s="177"/>
      <c r="P181" s="177"/>
      <c r="Q181" s="177"/>
      <c r="R181" s="177"/>
      <c r="S181" s="177"/>
      <c r="T181" s="177"/>
      <c r="U181" s="177"/>
      <c r="V181" s="177"/>
      <c r="W181" s="177"/>
      <c r="X181" s="177"/>
      <c r="Y181" s="177"/>
      <c r="Z181" s="177"/>
      <c r="AA181" s="177"/>
      <c r="AB181" s="177"/>
      <c r="AC181" s="177"/>
      <c r="AD181" s="177"/>
      <c r="AE181" s="177"/>
      <c r="AF181" s="177"/>
      <c r="AG181" s="177"/>
      <c r="AH181" s="177"/>
      <c r="AI181" s="177"/>
      <c r="AJ181" s="177"/>
      <c r="AK181" s="177"/>
      <c r="AL181" s="177"/>
      <c r="AM181" s="177"/>
    </row>
    <row r="182" spans="1:39">
      <c r="A182" s="177"/>
      <c r="B182" s="177"/>
      <c r="C182" s="177"/>
      <c r="D182" s="177"/>
      <c r="E182" s="177"/>
      <c r="F182" s="177"/>
      <c r="G182" s="177"/>
      <c r="H182" s="177"/>
      <c r="I182" s="177"/>
      <c r="J182" s="177"/>
      <c r="K182" s="177"/>
      <c r="L182" s="177"/>
      <c r="M182" s="177"/>
      <c r="N182" s="177"/>
      <c r="O182" s="177"/>
      <c r="P182" s="177"/>
      <c r="Q182" s="177"/>
      <c r="R182" s="177"/>
      <c r="S182" s="177"/>
      <c r="T182" s="177"/>
      <c r="U182" s="177"/>
      <c r="V182" s="177"/>
      <c r="W182" s="177"/>
      <c r="X182" s="177"/>
      <c r="Y182" s="177"/>
      <c r="Z182" s="177"/>
      <c r="AA182" s="177"/>
      <c r="AB182" s="177"/>
      <c r="AC182" s="177"/>
      <c r="AD182" s="177"/>
      <c r="AE182" s="177"/>
      <c r="AF182" s="177"/>
      <c r="AG182" s="177"/>
      <c r="AH182" s="177"/>
      <c r="AI182" s="177"/>
      <c r="AJ182" s="177"/>
      <c r="AK182" s="177"/>
      <c r="AL182" s="177"/>
      <c r="AM182" s="177"/>
    </row>
    <row r="183" spans="1:39">
      <c r="A183" s="177"/>
      <c r="B183" s="177"/>
      <c r="C183" s="177"/>
      <c r="D183" s="177"/>
      <c r="E183" s="177"/>
      <c r="F183" s="177"/>
      <c r="G183" s="177"/>
      <c r="H183" s="177"/>
      <c r="I183" s="177"/>
      <c r="J183" s="177"/>
      <c r="K183" s="177"/>
      <c r="L183" s="177"/>
      <c r="M183" s="177"/>
      <c r="N183" s="177"/>
      <c r="O183" s="177"/>
      <c r="P183" s="177"/>
      <c r="Q183" s="177"/>
      <c r="R183" s="177"/>
      <c r="S183" s="177"/>
      <c r="T183" s="177"/>
      <c r="U183" s="177"/>
      <c r="V183" s="177"/>
      <c r="W183" s="177"/>
      <c r="X183" s="177"/>
      <c r="Y183" s="177"/>
      <c r="Z183" s="177"/>
      <c r="AA183" s="177"/>
      <c r="AB183" s="177"/>
      <c r="AC183" s="177"/>
      <c r="AD183" s="177"/>
      <c r="AE183" s="177"/>
      <c r="AF183" s="177"/>
      <c r="AG183" s="177"/>
      <c r="AH183" s="177"/>
      <c r="AI183" s="177"/>
      <c r="AJ183" s="177"/>
      <c r="AK183" s="177"/>
      <c r="AL183" s="177"/>
      <c r="AM183" s="177"/>
    </row>
    <row r="184" spans="1:39">
      <c r="A184" s="177"/>
      <c r="B184" s="177"/>
      <c r="C184" s="177"/>
      <c r="D184" s="177"/>
      <c r="E184" s="177"/>
      <c r="F184" s="177"/>
      <c r="G184" s="177"/>
      <c r="H184" s="177"/>
      <c r="I184" s="177"/>
      <c r="J184" s="177"/>
      <c r="K184" s="177"/>
      <c r="L184" s="177"/>
      <c r="M184" s="177"/>
      <c r="N184" s="177"/>
      <c r="O184" s="177"/>
      <c r="P184" s="177"/>
      <c r="Q184" s="177"/>
      <c r="R184" s="177"/>
      <c r="S184" s="177"/>
      <c r="T184" s="177"/>
      <c r="U184" s="177"/>
      <c r="V184" s="177"/>
      <c r="W184" s="177"/>
      <c r="X184" s="177"/>
      <c r="Y184" s="177"/>
      <c r="Z184" s="177"/>
      <c r="AA184" s="177"/>
      <c r="AB184" s="177"/>
      <c r="AC184" s="177"/>
      <c r="AD184" s="177"/>
      <c r="AE184" s="177"/>
      <c r="AF184" s="177"/>
      <c r="AG184" s="177"/>
      <c r="AH184" s="177"/>
      <c r="AI184" s="177"/>
      <c r="AJ184" s="177"/>
      <c r="AK184" s="177"/>
      <c r="AL184" s="177"/>
      <c r="AM184" s="177"/>
    </row>
    <row r="185" spans="1:39">
      <c r="A185" s="177"/>
      <c r="B185" s="177"/>
      <c r="C185" s="177"/>
      <c r="D185" s="177"/>
      <c r="E185" s="177"/>
      <c r="F185" s="177"/>
      <c r="G185" s="177"/>
      <c r="H185" s="177"/>
      <c r="I185" s="177"/>
      <c r="J185" s="177"/>
      <c r="K185" s="177"/>
      <c r="L185" s="177"/>
      <c r="M185" s="177"/>
      <c r="N185" s="177"/>
      <c r="O185" s="177"/>
      <c r="P185" s="177"/>
      <c r="Q185" s="177"/>
      <c r="R185" s="177"/>
      <c r="S185" s="177"/>
      <c r="T185" s="177"/>
      <c r="U185" s="177"/>
      <c r="V185" s="177"/>
      <c r="W185" s="177"/>
      <c r="X185" s="177"/>
      <c r="Y185" s="177"/>
      <c r="Z185" s="177"/>
      <c r="AA185" s="177"/>
      <c r="AB185" s="177"/>
      <c r="AC185" s="177"/>
      <c r="AD185" s="177"/>
      <c r="AE185" s="177"/>
      <c r="AF185" s="177"/>
      <c r="AG185" s="177"/>
      <c r="AH185" s="177"/>
      <c r="AI185" s="177"/>
      <c r="AJ185" s="177"/>
      <c r="AK185" s="177"/>
      <c r="AL185" s="177"/>
      <c r="AM185" s="177"/>
    </row>
    <row r="186" spans="1:39">
      <c r="A186" s="177"/>
      <c r="B186" s="177"/>
      <c r="C186" s="177"/>
      <c r="D186" s="177"/>
      <c r="E186" s="177"/>
      <c r="F186" s="177"/>
      <c r="G186" s="177"/>
      <c r="H186" s="177"/>
      <c r="I186" s="177"/>
      <c r="J186" s="177"/>
      <c r="K186" s="177"/>
      <c r="L186" s="177"/>
      <c r="M186" s="177"/>
      <c r="N186" s="177"/>
      <c r="O186" s="177"/>
      <c r="P186" s="177"/>
      <c r="Q186" s="177"/>
      <c r="R186" s="177"/>
      <c r="S186" s="177"/>
      <c r="T186" s="177"/>
      <c r="U186" s="177"/>
      <c r="V186" s="177"/>
      <c r="W186" s="177"/>
      <c r="X186" s="177"/>
      <c r="Y186" s="177"/>
      <c r="Z186" s="177"/>
      <c r="AA186" s="177"/>
      <c r="AB186" s="177"/>
      <c r="AC186" s="177"/>
      <c r="AD186" s="177"/>
      <c r="AE186" s="177"/>
      <c r="AF186" s="177"/>
      <c r="AG186" s="177"/>
      <c r="AH186" s="177"/>
      <c r="AI186" s="177"/>
      <c r="AJ186" s="177"/>
      <c r="AK186" s="177"/>
      <c r="AL186" s="177"/>
      <c r="AM186" s="177"/>
    </row>
    <row r="187" spans="1:39">
      <c r="A187" s="177"/>
      <c r="B187" s="177"/>
      <c r="C187" s="177"/>
      <c r="D187" s="177"/>
      <c r="E187" s="177"/>
      <c r="F187" s="177"/>
      <c r="G187" s="177"/>
      <c r="H187" s="177"/>
      <c r="I187" s="177"/>
      <c r="J187" s="177"/>
      <c r="K187" s="177"/>
      <c r="L187" s="177"/>
      <c r="M187" s="177"/>
      <c r="N187" s="177"/>
      <c r="O187" s="177"/>
      <c r="P187" s="177"/>
      <c r="Q187" s="177"/>
      <c r="R187" s="177"/>
      <c r="S187" s="177"/>
      <c r="T187" s="177"/>
      <c r="U187" s="177"/>
      <c r="V187" s="177"/>
      <c r="W187" s="177"/>
      <c r="X187" s="177"/>
      <c r="Y187" s="177"/>
      <c r="Z187" s="177"/>
      <c r="AA187" s="177"/>
      <c r="AB187" s="177"/>
      <c r="AC187" s="177"/>
      <c r="AD187" s="177"/>
      <c r="AE187" s="177"/>
      <c r="AF187" s="177"/>
      <c r="AG187" s="177"/>
      <c r="AH187" s="177"/>
      <c r="AI187" s="177"/>
      <c r="AJ187" s="177"/>
      <c r="AK187" s="177"/>
      <c r="AL187" s="177"/>
      <c r="AM187" s="177"/>
    </row>
    <row r="188" spans="1:39">
      <c r="A188" s="177"/>
      <c r="B188" s="177"/>
      <c r="C188" s="177"/>
      <c r="D188" s="177"/>
      <c r="E188" s="177"/>
      <c r="F188" s="177"/>
      <c r="G188" s="177"/>
      <c r="H188" s="177"/>
      <c r="I188" s="177"/>
      <c r="J188" s="177"/>
      <c r="K188" s="177"/>
      <c r="L188" s="177"/>
      <c r="M188" s="177"/>
      <c r="N188" s="177"/>
      <c r="O188" s="177"/>
      <c r="P188" s="177"/>
      <c r="Q188" s="177"/>
      <c r="R188" s="177"/>
      <c r="S188" s="177"/>
      <c r="T188" s="177"/>
      <c r="U188" s="177"/>
      <c r="V188" s="177"/>
      <c r="W188" s="177"/>
      <c r="X188" s="177"/>
      <c r="Y188" s="177"/>
      <c r="Z188" s="177"/>
      <c r="AA188" s="177"/>
      <c r="AB188" s="177"/>
      <c r="AC188" s="177"/>
      <c r="AD188" s="177"/>
      <c r="AE188" s="177"/>
      <c r="AF188" s="177"/>
      <c r="AG188" s="177"/>
      <c r="AH188" s="177"/>
      <c r="AI188" s="177"/>
      <c r="AJ188" s="177"/>
      <c r="AK188" s="177"/>
      <c r="AL188" s="177"/>
      <c r="AM188" s="177"/>
    </row>
    <row r="189" spans="1:39">
      <c r="A189" s="177"/>
      <c r="B189" s="177"/>
      <c r="C189" s="177"/>
      <c r="D189" s="177"/>
      <c r="E189" s="177"/>
      <c r="F189" s="177"/>
      <c r="G189" s="177"/>
      <c r="H189" s="177"/>
      <c r="I189" s="177"/>
      <c r="J189" s="177"/>
      <c r="K189" s="177"/>
      <c r="L189" s="177"/>
      <c r="M189" s="177"/>
      <c r="N189" s="177"/>
      <c r="O189" s="177"/>
      <c r="P189" s="177"/>
      <c r="Q189" s="177"/>
      <c r="R189" s="177"/>
      <c r="S189" s="177"/>
      <c r="T189" s="177"/>
      <c r="U189" s="177"/>
      <c r="V189" s="177"/>
      <c r="W189" s="177"/>
      <c r="X189" s="177"/>
      <c r="Y189" s="177"/>
      <c r="Z189" s="177"/>
      <c r="AA189" s="177"/>
      <c r="AB189" s="177"/>
      <c r="AC189" s="177"/>
      <c r="AD189" s="177"/>
      <c r="AE189" s="177"/>
      <c r="AF189" s="177"/>
      <c r="AG189" s="177"/>
      <c r="AH189" s="177"/>
      <c r="AI189" s="177"/>
      <c r="AJ189" s="177"/>
      <c r="AK189" s="177"/>
      <c r="AL189" s="177"/>
      <c r="AM189" s="177"/>
    </row>
    <row r="190" spans="1:39">
      <c r="A190" s="177"/>
      <c r="B190" s="177"/>
      <c r="C190" s="177"/>
      <c r="D190" s="177"/>
      <c r="E190" s="177"/>
      <c r="F190" s="177"/>
      <c r="G190" s="177"/>
      <c r="H190" s="177"/>
      <c r="I190" s="177"/>
      <c r="J190" s="177"/>
      <c r="K190" s="177"/>
      <c r="L190" s="177"/>
      <c r="M190" s="177"/>
      <c r="N190" s="177"/>
      <c r="O190" s="177"/>
      <c r="P190" s="177"/>
      <c r="Q190" s="177"/>
      <c r="R190" s="177"/>
      <c r="S190" s="177"/>
      <c r="T190" s="177"/>
      <c r="U190" s="177"/>
      <c r="V190" s="177"/>
      <c r="W190" s="177"/>
      <c r="X190" s="177"/>
      <c r="Y190" s="177"/>
      <c r="Z190" s="177"/>
      <c r="AA190" s="177"/>
      <c r="AB190" s="177"/>
      <c r="AC190" s="177"/>
      <c r="AD190" s="177"/>
      <c r="AE190" s="177"/>
      <c r="AF190" s="177"/>
      <c r="AG190" s="177"/>
      <c r="AH190" s="177"/>
      <c r="AI190" s="177"/>
      <c r="AJ190" s="177"/>
      <c r="AK190" s="177"/>
      <c r="AL190" s="177"/>
      <c r="AM190" s="177"/>
    </row>
    <row r="191" spans="1:39">
      <c r="A191" s="177"/>
      <c r="B191" s="177"/>
      <c r="C191" s="177"/>
      <c r="D191" s="177"/>
      <c r="E191" s="177"/>
      <c r="F191" s="177"/>
      <c r="G191" s="177"/>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row>
  </sheetData>
  <mergeCells count="42">
    <mergeCell ref="J28:K28"/>
    <mergeCell ref="D28:E28"/>
    <mergeCell ref="D27:E27"/>
    <mergeCell ref="G27:H27"/>
    <mergeCell ref="G28:H28"/>
    <mergeCell ref="J27:K27"/>
    <mergeCell ref="G26:H26"/>
    <mergeCell ref="D24:E24"/>
    <mergeCell ref="J22:K22"/>
    <mergeCell ref="G22:H22"/>
    <mergeCell ref="J25:K25"/>
    <mergeCell ref="J26:K26"/>
    <mergeCell ref="D25:E25"/>
    <mergeCell ref="D26:E26"/>
    <mergeCell ref="G25:H25"/>
    <mergeCell ref="G24:H24"/>
    <mergeCell ref="J24:K24"/>
    <mergeCell ref="J23:K23"/>
    <mergeCell ref="G23:H23"/>
    <mergeCell ref="A28:B28"/>
    <mergeCell ref="D4:E4"/>
    <mergeCell ref="B4:C4"/>
    <mergeCell ref="A27:B27"/>
    <mergeCell ref="A23:B23"/>
    <mergeCell ref="A24:B24"/>
    <mergeCell ref="A25:B25"/>
    <mergeCell ref="A26:B26"/>
    <mergeCell ref="D23:E23"/>
    <mergeCell ref="A1:K1"/>
    <mergeCell ref="A21:B22"/>
    <mergeCell ref="A4:A5"/>
    <mergeCell ref="F4:G4"/>
    <mergeCell ref="H4:I4"/>
    <mergeCell ref="I21:K21"/>
    <mergeCell ref="F21:H21"/>
    <mergeCell ref="J4:K4"/>
    <mergeCell ref="C21:E21"/>
    <mergeCell ref="D22:E22"/>
    <mergeCell ref="A2:K2"/>
    <mergeCell ref="A20:K20"/>
    <mergeCell ref="A18:K18"/>
    <mergeCell ref="A19:K19"/>
  </mergeCells>
  <phoneticPr fontId="0" type="noConversion"/>
  <printOptions horizontalCentered="1" verticalCentered="1"/>
  <pageMargins left="0.1" right="0.1" top="0.1" bottom="0.1" header="0.7" footer="0.1"/>
  <pageSetup paperSize="9" orientation="landscape" r:id="rId1"/>
  <headerFooter alignWithMargins="0"/>
</worksheet>
</file>

<file path=xl/worksheets/sheet46.xml><?xml version="1.0" encoding="utf-8"?>
<worksheet xmlns="http://schemas.openxmlformats.org/spreadsheetml/2006/main" xmlns:r="http://schemas.openxmlformats.org/officeDocument/2006/relationships">
  <sheetPr codeName="Sheet54"/>
  <dimension ref="A1:L31"/>
  <sheetViews>
    <sheetView topLeftCell="A10" workbookViewId="0">
      <selection activeCell="M30" sqref="M30"/>
    </sheetView>
  </sheetViews>
  <sheetFormatPr defaultRowHeight="12.75"/>
  <cols>
    <col min="1" max="1" width="3.42578125" style="172" customWidth="1"/>
    <col min="2" max="2" width="17" style="172" customWidth="1"/>
    <col min="3" max="12" width="11" style="172" customWidth="1"/>
    <col min="13" max="16384" width="9.140625" style="172"/>
  </cols>
  <sheetData>
    <row r="1" spans="1:12" ht="13.5" customHeight="1">
      <c r="A1" s="1181" t="s">
        <v>821</v>
      </c>
      <c r="B1" s="1181"/>
      <c r="C1" s="1181"/>
      <c r="D1" s="1181"/>
      <c r="E1" s="1181"/>
      <c r="F1" s="1181"/>
      <c r="G1" s="1181"/>
      <c r="H1" s="1181"/>
      <c r="I1" s="1181"/>
      <c r="J1" s="1181"/>
      <c r="K1" s="1181"/>
      <c r="L1" s="1181"/>
    </row>
    <row r="2" spans="1:12" s="259" customFormat="1" ht="18" customHeight="1">
      <c r="A2" s="1399" t="str">
        <f>CONCATENATE("Area and Production of Fruits and Vegetables in the district of ",District!A1)</f>
        <v>Area and Production of Fruits and Vegetables in the district of Bankura</v>
      </c>
      <c r="B2" s="1399"/>
      <c r="C2" s="1399"/>
      <c r="D2" s="1399"/>
      <c r="E2" s="1399"/>
      <c r="F2" s="1399"/>
      <c r="G2" s="1399"/>
      <c r="H2" s="1399"/>
      <c r="I2" s="1399"/>
      <c r="J2" s="1399"/>
      <c r="K2" s="1399"/>
      <c r="L2" s="1399"/>
    </row>
    <row r="3" spans="1:12" s="266" customFormat="1" ht="15.95" customHeight="1">
      <c r="A3" s="1261" t="s">
        <v>1038</v>
      </c>
      <c r="B3" s="1263"/>
      <c r="C3" s="1193" t="s">
        <v>1039</v>
      </c>
      <c r="D3" s="1191"/>
      <c r="E3" s="1191"/>
      <c r="F3" s="1191"/>
      <c r="G3" s="1184"/>
      <c r="H3" s="1193" t="s">
        <v>1065</v>
      </c>
      <c r="I3" s="1191"/>
      <c r="J3" s="1191"/>
      <c r="K3" s="1191"/>
      <c r="L3" s="1192"/>
    </row>
    <row r="4" spans="1:12" s="266" customFormat="1" ht="18" customHeight="1">
      <c r="A4" s="1264"/>
      <c r="B4" s="1266"/>
      <c r="C4" s="819" t="str">
        <f>District!B11</f>
        <v>2009-10</v>
      </c>
      <c r="D4" s="472" t="str">
        <f>District!C11</f>
        <v>2010-11</v>
      </c>
      <c r="E4" s="472" t="str">
        <f>District!D11</f>
        <v>2011-12</v>
      </c>
      <c r="F4" s="472" t="str">
        <f>District!E11</f>
        <v>2012-13</v>
      </c>
      <c r="G4" s="553" t="str">
        <f>District!F11</f>
        <v>2013-14</v>
      </c>
      <c r="H4" s="227" t="str">
        <f>District!B11</f>
        <v>2009-10</v>
      </c>
      <c r="I4" s="227" t="str">
        <f>District!C11</f>
        <v>2010-11</v>
      </c>
      <c r="J4" s="227" t="str">
        <f>District!D11</f>
        <v>2011-12</v>
      </c>
      <c r="K4" s="227" t="str">
        <f>District!E11</f>
        <v>2012-13</v>
      </c>
      <c r="L4" s="194" t="str">
        <f>District!F11</f>
        <v>2013-14</v>
      </c>
    </row>
    <row r="5" spans="1:12" s="266" customFormat="1" ht="15.95" customHeight="1">
      <c r="A5" s="1201" t="s">
        <v>418</v>
      </c>
      <c r="B5" s="1191"/>
      <c r="C5" s="221" t="s">
        <v>419</v>
      </c>
      <c r="D5" s="222" t="s">
        <v>420</v>
      </c>
      <c r="E5" s="222" t="s">
        <v>421</v>
      </c>
      <c r="F5" s="222" t="s">
        <v>422</v>
      </c>
      <c r="G5" s="182" t="s">
        <v>423</v>
      </c>
      <c r="H5" s="489" t="s">
        <v>424</v>
      </c>
      <c r="I5" s="222" t="s">
        <v>440</v>
      </c>
      <c r="J5" s="222" t="s">
        <v>441</v>
      </c>
      <c r="K5" s="489" t="s">
        <v>442</v>
      </c>
      <c r="L5" s="182" t="s">
        <v>443</v>
      </c>
    </row>
    <row r="6" spans="1:12" s="266" customFormat="1" ht="15.95" customHeight="1">
      <c r="A6" s="45" t="s">
        <v>584</v>
      </c>
      <c r="B6" s="493" t="s">
        <v>1106</v>
      </c>
      <c r="C6" s="494"/>
      <c r="D6" s="305"/>
      <c r="E6" s="305"/>
      <c r="F6" s="305"/>
      <c r="G6" s="495"/>
      <c r="H6" s="305"/>
      <c r="I6" s="496"/>
      <c r="J6" s="496"/>
      <c r="K6" s="496"/>
      <c r="L6" s="497"/>
    </row>
    <row r="7" spans="1:12" s="266" customFormat="1" ht="15.95" customHeight="1">
      <c r="A7" s="444"/>
      <c r="B7" s="197" t="s">
        <v>1040</v>
      </c>
      <c r="C7" s="167">
        <v>3.8</v>
      </c>
      <c r="D7" s="167">
        <v>3.95</v>
      </c>
      <c r="E7" s="167">
        <v>4.1500000000000004</v>
      </c>
      <c r="F7" s="167">
        <v>4.1900000000000004</v>
      </c>
      <c r="G7" s="185">
        <v>4.2</v>
      </c>
      <c r="H7" s="72">
        <v>5.79</v>
      </c>
      <c r="I7" s="72">
        <v>7.79</v>
      </c>
      <c r="J7" s="72">
        <v>8.4700000000000006</v>
      </c>
      <c r="K7" s="167">
        <v>13.3</v>
      </c>
      <c r="L7" s="185">
        <v>8.5</v>
      </c>
    </row>
    <row r="8" spans="1:12" s="266" customFormat="1" ht="15.95" customHeight="1">
      <c r="A8" s="444"/>
      <c r="B8" s="197" t="s">
        <v>1041</v>
      </c>
      <c r="C8" s="167">
        <v>0.55000000000000004</v>
      </c>
      <c r="D8" s="167">
        <v>0.56000000000000005</v>
      </c>
      <c r="E8" s="167">
        <v>0.59</v>
      </c>
      <c r="F8" s="167">
        <v>0.61</v>
      </c>
      <c r="G8" s="185">
        <v>0.55000000000000004</v>
      </c>
      <c r="H8" s="72">
        <v>6.13</v>
      </c>
      <c r="I8" s="72">
        <v>6.51</v>
      </c>
      <c r="J8" s="72">
        <v>6.9</v>
      </c>
      <c r="K8" s="167">
        <v>7.5</v>
      </c>
      <c r="L8" s="185">
        <v>6.1</v>
      </c>
    </row>
    <row r="9" spans="1:12" s="266" customFormat="1" ht="15.75" customHeight="1">
      <c r="A9" s="444"/>
      <c r="B9" s="197" t="s">
        <v>1042</v>
      </c>
      <c r="C9" s="167">
        <v>0.04</v>
      </c>
      <c r="D9" s="167">
        <v>0.04</v>
      </c>
      <c r="E9" s="167">
        <v>0.02</v>
      </c>
      <c r="F9" s="167">
        <v>0.02</v>
      </c>
      <c r="G9" s="185">
        <v>0.02</v>
      </c>
      <c r="H9" s="72">
        <v>0.6</v>
      </c>
      <c r="I9" s="72">
        <v>0.6</v>
      </c>
      <c r="J9" s="72">
        <v>0.3</v>
      </c>
      <c r="K9" s="167">
        <v>0.26</v>
      </c>
      <c r="L9" s="185">
        <v>0.23</v>
      </c>
    </row>
    <row r="10" spans="1:12" s="266" customFormat="1" ht="15.75" customHeight="1">
      <c r="A10" s="444"/>
      <c r="B10" s="197" t="s">
        <v>1043</v>
      </c>
      <c r="C10" s="167">
        <v>0.56999999999999995</v>
      </c>
      <c r="D10" s="167">
        <v>0.56999999999999995</v>
      </c>
      <c r="E10" s="167">
        <v>0.57999999999999996</v>
      </c>
      <c r="F10" s="167">
        <v>0.65</v>
      </c>
      <c r="G10" s="185">
        <v>0.68</v>
      </c>
      <c r="H10" s="72">
        <v>12.12</v>
      </c>
      <c r="I10" s="72">
        <v>12.21</v>
      </c>
      <c r="J10" s="72">
        <v>12.51</v>
      </c>
      <c r="K10" s="167">
        <v>18.268999999999998</v>
      </c>
      <c r="L10" s="185">
        <v>18.8</v>
      </c>
    </row>
    <row r="11" spans="1:12" s="266" customFormat="1" ht="15.75" customHeight="1">
      <c r="A11" s="444"/>
      <c r="B11" s="197" t="s">
        <v>1044</v>
      </c>
      <c r="C11" s="167">
        <v>0.76</v>
      </c>
      <c r="D11" s="167">
        <v>0.81</v>
      </c>
      <c r="E11" s="167">
        <v>0.82</v>
      </c>
      <c r="F11" s="167">
        <v>0.83</v>
      </c>
      <c r="G11" s="185">
        <v>0.81</v>
      </c>
      <c r="H11" s="72">
        <v>7.95</v>
      </c>
      <c r="I11" s="72">
        <v>8.5500000000000007</v>
      </c>
      <c r="J11" s="72">
        <v>8.56</v>
      </c>
      <c r="K11" s="167">
        <v>9.4420000000000002</v>
      </c>
      <c r="L11" s="185">
        <v>9.3000000000000007</v>
      </c>
    </row>
    <row r="12" spans="1:12" s="266" customFormat="1" ht="15.75" customHeight="1">
      <c r="A12" s="444"/>
      <c r="B12" s="197" t="s">
        <v>1045</v>
      </c>
      <c r="C12" s="167">
        <v>0.52</v>
      </c>
      <c r="D12" s="167">
        <v>0.52</v>
      </c>
      <c r="E12" s="167">
        <v>0.52</v>
      </c>
      <c r="F12" s="167">
        <v>0.54</v>
      </c>
      <c r="G12" s="185">
        <v>0.55000000000000004</v>
      </c>
      <c r="H12" s="72">
        <v>8.99</v>
      </c>
      <c r="I12" s="72">
        <v>8.99</v>
      </c>
      <c r="J12" s="72">
        <v>9</v>
      </c>
      <c r="K12" s="167">
        <v>10</v>
      </c>
      <c r="L12" s="1119">
        <v>10.1</v>
      </c>
    </row>
    <row r="13" spans="1:12" s="266" customFormat="1" ht="15.75" customHeight="1">
      <c r="A13" s="444"/>
      <c r="B13" s="197" t="s">
        <v>1046</v>
      </c>
      <c r="C13" s="72" t="s">
        <v>1127</v>
      </c>
      <c r="D13" s="72" t="s">
        <v>1127</v>
      </c>
      <c r="E13" s="150" t="s">
        <v>1127</v>
      </c>
      <c r="F13" s="72" t="s">
        <v>579</v>
      </c>
      <c r="G13" s="1121" t="s">
        <v>579</v>
      </c>
      <c r="H13" s="327" t="s">
        <v>1127</v>
      </c>
      <c r="I13" s="78" t="s">
        <v>1127</v>
      </c>
      <c r="J13" s="78" t="s">
        <v>1127</v>
      </c>
      <c r="K13" s="72">
        <v>5.0000000000000001E-3</v>
      </c>
      <c r="L13" s="62">
        <v>0.01</v>
      </c>
    </row>
    <row r="14" spans="1:12" s="266" customFormat="1" ht="15.95" customHeight="1">
      <c r="A14" s="444"/>
      <c r="B14" s="197" t="s">
        <v>1047</v>
      </c>
      <c r="C14" s="78" t="s">
        <v>1127</v>
      </c>
      <c r="D14" s="78" t="s">
        <v>1127</v>
      </c>
      <c r="E14" s="853" t="s">
        <v>1127</v>
      </c>
      <c r="F14" s="78" t="s">
        <v>1127</v>
      </c>
      <c r="G14" s="1072" t="s">
        <v>1127</v>
      </c>
      <c r="H14" s="78" t="s">
        <v>1127</v>
      </c>
      <c r="I14" s="78" t="s">
        <v>1127</v>
      </c>
      <c r="J14" s="78" t="s">
        <v>1127</v>
      </c>
      <c r="K14" s="78" t="s">
        <v>1127</v>
      </c>
      <c r="L14" s="146" t="s">
        <v>1127</v>
      </c>
    </row>
    <row r="15" spans="1:12" s="266" customFormat="1" ht="15.95" customHeight="1">
      <c r="A15" s="406"/>
      <c r="B15" s="197" t="s">
        <v>1048</v>
      </c>
      <c r="C15" s="167">
        <v>0.48</v>
      </c>
      <c r="D15" s="167">
        <v>0.49</v>
      </c>
      <c r="E15" s="852">
        <v>0.49</v>
      </c>
      <c r="F15" s="852">
        <v>0.51</v>
      </c>
      <c r="G15" s="855">
        <v>0.51</v>
      </c>
      <c r="H15" s="72">
        <v>3.67</v>
      </c>
      <c r="I15" s="72">
        <v>3.77</v>
      </c>
      <c r="J15" s="72">
        <v>3.9</v>
      </c>
      <c r="K15" s="167">
        <v>4.4000000000000004</v>
      </c>
      <c r="L15" s="1119">
        <v>4.7</v>
      </c>
    </row>
    <row r="16" spans="1:12" s="266" customFormat="1" ht="15.95" customHeight="1">
      <c r="A16" s="444"/>
      <c r="B16" s="197" t="s">
        <v>1050</v>
      </c>
      <c r="C16" s="72">
        <v>0.06</v>
      </c>
      <c r="D16" s="72">
        <v>0.06</v>
      </c>
      <c r="E16" s="72">
        <v>0.06</v>
      </c>
      <c r="F16" s="72">
        <v>7.0000000000000007E-2</v>
      </c>
      <c r="G16" s="62">
        <v>7.0000000000000007E-2</v>
      </c>
      <c r="H16" s="72">
        <v>0.59</v>
      </c>
      <c r="I16" s="72">
        <v>0.59</v>
      </c>
      <c r="J16" s="72">
        <v>0.59</v>
      </c>
      <c r="K16" s="72">
        <v>0.68</v>
      </c>
      <c r="L16" s="62">
        <v>0.69</v>
      </c>
    </row>
    <row r="17" spans="1:12" s="266" customFormat="1" ht="15.95" customHeight="1">
      <c r="A17" s="444"/>
      <c r="B17" s="347" t="s">
        <v>592</v>
      </c>
      <c r="C17" s="167">
        <v>0.3</v>
      </c>
      <c r="D17" s="167">
        <v>0.3</v>
      </c>
      <c r="E17" s="323">
        <v>0.28999999999999998</v>
      </c>
      <c r="F17" s="504">
        <v>0.4</v>
      </c>
      <c r="G17" s="505">
        <v>0.45</v>
      </c>
      <c r="H17" s="72">
        <v>3.33</v>
      </c>
      <c r="I17" s="642">
        <v>3.19</v>
      </c>
      <c r="J17" s="642">
        <v>3.19</v>
      </c>
      <c r="K17" s="165">
        <v>3.2</v>
      </c>
      <c r="L17" s="188">
        <v>3.6</v>
      </c>
    </row>
    <row r="18" spans="1:12" s="266" customFormat="1" ht="15.95" customHeight="1">
      <c r="A18" s="1198" t="s">
        <v>439</v>
      </c>
      <c r="B18" s="1199"/>
      <c r="C18" s="498">
        <f t="shared" ref="C18:K18" si="0">SUM(C7:C17)</f>
        <v>7.08</v>
      </c>
      <c r="D18" s="499">
        <f t="shared" si="0"/>
        <v>7.2999999999999989</v>
      </c>
      <c r="E18" s="499">
        <f t="shared" si="0"/>
        <v>7.52</v>
      </c>
      <c r="F18" s="500">
        <f t="shared" si="0"/>
        <v>7.8200000000000012</v>
      </c>
      <c r="G18" s="500">
        <f>SUM(G7:G17)</f>
        <v>7.84</v>
      </c>
      <c r="H18" s="498">
        <f t="shared" si="0"/>
        <v>49.170000000000009</v>
      </c>
      <c r="I18" s="499">
        <f t="shared" si="0"/>
        <v>52.2</v>
      </c>
      <c r="J18" s="499">
        <f t="shared" si="0"/>
        <v>53.42</v>
      </c>
      <c r="K18" s="500">
        <f t="shared" si="0"/>
        <v>67.055999999999997</v>
      </c>
      <c r="L18" s="871">
        <f>SUM(L7:L17)</f>
        <v>62.030000000000008</v>
      </c>
    </row>
    <row r="19" spans="1:12" s="266" customFormat="1" ht="15.95" customHeight="1">
      <c r="A19" s="45" t="s">
        <v>1051</v>
      </c>
      <c r="B19" s="87" t="s">
        <v>1107</v>
      </c>
      <c r="C19" s="324"/>
      <c r="D19" s="323"/>
      <c r="E19" s="323"/>
      <c r="F19" s="323"/>
      <c r="G19" s="501"/>
      <c r="H19" s="323"/>
      <c r="I19" s="323"/>
      <c r="J19" s="632"/>
      <c r="K19" s="632"/>
      <c r="L19" s="502"/>
    </row>
    <row r="20" spans="1:12" s="266" customFormat="1" ht="15.95" customHeight="1">
      <c r="A20" s="503"/>
      <c r="B20" s="197" t="s">
        <v>1052</v>
      </c>
      <c r="C20" s="324">
        <v>3.17</v>
      </c>
      <c r="D20" s="323">
        <v>3.2</v>
      </c>
      <c r="E20" s="323">
        <v>3.24</v>
      </c>
      <c r="F20" s="323">
        <v>3.75</v>
      </c>
      <c r="G20" s="501">
        <v>3.75</v>
      </c>
      <c r="H20" s="72">
        <v>49.5</v>
      </c>
      <c r="I20" s="72">
        <v>50.14</v>
      </c>
      <c r="J20" s="72">
        <v>51.14</v>
      </c>
      <c r="K20" s="167">
        <v>60</v>
      </c>
      <c r="L20" s="185">
        <v>60.5</v>
      </c>
    </row>
    <row r="21" spans="1:12" s="266" customFormat="1" ht="15.95" customHeight="1">
      <c r="A21" s="503"/>
      <c r="B21" s="197" t="s">
        <v>1053</v>
      </c>
      <c r="C21" s="324">
        <v>4.79</v>
      </c>
      <c r="D21" s="323">
        <v>4.8499999999999996</v>
      </c>
      <c r="E21" s="323">
        <v>4.87</v>
      </c>
      <c r="F21" s="323">
        <v>5.3</v>
      </c>
      <c r="G21" s="501">
        <v>5.32</v>
      </c>
      <c r="H21" s="72">
        <v>155.33000000000001</v>
      </c>
      <c r="I21" s="72">
        <v>157.5</v>
      </c>
      <c r="J21" s="72">
        <v>157.69999999999999</v>
      </c>
      <c r="K21" s="167">
        <v>169.81</v>
      </c>
      <c r="L21" s="185">
        <v>169.2</v>
      </c>
    </row>
    <row r="22" spans="1:12" s="266" customFormat="1" ht="15.95" customHeight="1">
      <c r="A22" s="503"/>
      <c r="B22" s="197" t="s">
        <v>1054</v>
      </c>
      <c r="C22" s="324">
        <v>5.31</v>
      </c>
      <c r="D22" s="323">
        <v>5.38</v>
      </c>
      <c r="E22" s="323">
        <v>5.4</v>
      </c>
      <c r="F22" s="323">
        <v>5.69</v>
      </c>
      <c r="G22" s="501">
        <v>5.7</v>
      </c>
      <c r="H22" s="72">
        <v>145.65</v>
      </c>
      <c r="I22" s="72">
        <v>147.57</v>
      </c>
      <c r="J22" s="72">
        <v>147.59</v>
      </c>
      <c r="K22" s="167">
        <v>153.6</v>
      </c>
      <c r="L22" s="185">
        <v>153</v>
      </c>
    </row>
    <row r="23" spans="1:12" s="266" customFormat="1" ht="15.95" customHeight="1">
      <c r="A23" s="406"/>
      <c r="B23" s="197" t="s">
        <v>1057</v>
      </c>
      <c r="C23" s="324">
        <v>0.64</v>
      </c>
      <c r="D23" s="323">
        <v>0.65</v>
      </c>
      <c r="E23" s="323">
        <v>0.65</v>
      </c>
      <c r="F23" s="323">
        <v>0.66</v>
      </c>
      <c r="G23" s="501">
        <v>0.66</v>
      </c>
      <c r="H23" s="72">
        <v>2.79</v>
      </c>
      <c r="I23" s="72">
        <v>2.88</v>
      </c>
      <c r="J23" s="72">
        <v>2.78</v>
      </c>
      <c r="K23" s="167">
        <v>2.85</v>
      </c>
      <c r="L23" s="185">
        <v>2.85</v>
      </c>
    </row>
    <row r="24" spans="1:12" s="266" customFormat="1" ht="15.95" customHeight="1">
      <c r="A24" s="45"/>
      <c r="B24" s="197" t="s">
        <v>1058</v>
      </c>
      <c r="C24" s="324">
        <v>9.99</v>
      </c>
      <c r="D24" s="323">
        <v>8.59</v>
      </c>
      <c r="E24" s="323">
        <v>10.07</v>
      </c>
      <c r="F24" s="323">
        <v>10.11</v>
      </c>
      <c r="G24" s="501">
        <v>10.14</v>
      </c>
      <c r="H24" s="72">
        <v>194.85</v>
      </c>
      <c r="I24" s="72">
        <v>173.95</v>
      </c>
      <c r="J24" s="72">
        <v>197.07</v>
      </c>
      <c r="K24" s="167">
        <v>198.7</v>
      </c>
      <c r="L24" s="185">
        <v>199.9</v>
      </c>
    </row>
    <row r="25" spans="1:12" s="266" customFormat="1" ht="15.95" customHeight="1">
      <c r="A25" s="503"/>
      <c r="B25" s="197" t="s">
        <v>1059</v>
      </c>
      <c r="C25" s="324">
        <v>0.79</v>
      </c>
      <c r="D25" s="323">
        <v>0.79</v>
      </c>
      <c r="E25" s="323">
        <v>0.8</v>
      </c>
      <c r="F25" s="323">
        <v>0.83</v>
      </c>
      <c r="G25" s="501">
        <v>0.9</v>
      </c>
      <c r="H25" s="72">
        <v>9.1</v>
      </c>
      <c r="I25" s="72">
        <v>9.35</v>
      </c>
      <c r="J25" s="72">
        <v>9.4</v>
      </c>
      <c r="K25" s="167">
        <v>9.6999999999999993</v>
      </c>
      <c r="L25" s="185">
        <v>10.7</v>
      </c>
    </row>
    <row r="26" spans="1:12" s="266" customFormat="1" ht="15.95" customHeight="1">
      <c r="A26" s="503"/>
      <c r="B26" s="197" t="s">
        <v>1060</v>
      </c>
      <c r="C26" s="324">
        <v>11.88</v>
      </c>
      <c r="D26" s="323">
        <v>12.05</v>
      </c>
      <c r="E26" s="323">
        <v>12</v>
      </c>
      <c r="F26" s="323">
        <v>12.05</v>
      </c>
      <c r="G26" s="501">
        <v>12.07</v>
      </c>
      <c r="H26" s="72">
        <v>153.43</v>
      </c>
      <c r="I26" s="72">
        <v>158.85</v>
      </c>
      <c r="J26" s="72">
        <v>158.97999999999999</v>
      </c>
      <c r="K26" s="167">
        <v>158.66</v>
      </c>
      <c r="L26" s="185">
        <v>158.82</v>
      </c>
    </row>
    <row r="27" spans="1:12" s="266" customFormat="1" ht="15.95" customHeight="1">
      <c r="A27" s="503"/>
      <c r="B27" s="197" t="s">
        <v>1061</v>
      </c>
      <c r="C27" s="324">
        <v>5.75</v>
      </c>
      <c r="D27" s="323">
        <v>5.82</v>
      </c>
      <c r="E27" s="323">
        <v>5.83</v>
      </c>
      <c r="F27" s="323">
        <v>5.86</v>
      </c>
      <c r="G27" s="501">
        <v>5.85</v>
      </c>
      <c r="H27" s="72">
        <v>64.290000000000006</v>
      </c>
      <c r="I27" s="72">
        <v>66.12</v>
      </c>
      <c r="J27" s="72">
        <v>65.22</v>
      </c>
      <c r="K27" s="167">
        <v>65.45</v>
      </c>
      <c r="L27" s="185">
        <v>65.19</v>
      </c>
    </row>
    <row r="28" spans="1:12" s="266" customFormat="1" ht="15.95" customHeight="1">
      <c r="A28" s="406"/>
      <c r="B28" s="197" t="s">
        <v>1062</v>
      </c>
      <c r="C28" s="324">
        <v>1.66</v>
      </c>
      <c r="D28" s="323">
        <v>0.37</v>
      </c>
      <c r="E28" s="323">
        <v>1.67</v>
      </c>
      <c r="F28" s="323">
        <v>1.74</v>
      </c>
      <c r="G28" s="501">
        <v>1.74</v>
      </c>
      <c r="H28" s="72">
        <v>22.34</v>
      </c>
      <c r="I28" s="72">
        <v>4.16</v>
      </c>
      <c r="J28" s="72">
        <v>23.2</v>
      </c>
      <c r="K28" s="167">
        <v>23.26</v>
      </c>
      <c r="L28" s="185">
        <v>22.81</v>
      </c>
    </row>
    <row r="29" spans="1:12" s="266" customFormat="1" ht="15.95" customHeight="1">
      <c r="A29" s="45"/>
      <c r="B29" s="347" t="s">
        <v>592</v>
      </c>
      <c r="C29" s="324">
        <v>7.42</v>
      </c>
      <c r="D29" s="323">
        <v>17.399999999999999</v>
      </c>
      <c r="E29" s="323">
        <v>7.67</v>
      </c>
      <c r="F29" s="504">
        <v>8.7100000000000009</v>
      </c>
      <c r="G29" s="505">
        <v>8.73</v>
      </c>
      <c r="H29" s="72">
        <v>41.19</v>
      </c>
      <c r="I29" s="72">
        <v>87.55</v>
      </c>
      <c r="J29" s="916">
        <v>44.51</v>
      </c>
      <c r="K29" s="504">
        <v>50.56</v>
      </c>
      <c r="L29" s="505">
        <v>50.3</v>
      </c>
    </row>
    <row r="30" spans="1:12" s="266" customFormat="1" ht="15.95" customHeight="1">
      <c r="A30" s="1198" t="s">
        <v>439</v>
      </c>
      <c r="B30" s="1199"/>
      <c r="C30" s="357">
        <f t="shared" ref="C30:L30" si="1">SUM(C20:C29)</f>
        <v>51.4</v>
      </c>
      <c r="D30" s="316">
        <f t="shared" si="1"/>
        <v>59.1</v>
      </c>
      <c r="E30" s="316">
        <f t="shared" si="1"/>
        <v>52.2</v>
      </c>
      <c r="F30" s="316">
        <f t="shared" si="1"/>
        <v>54.7</v>
      </c>
      <c r="G30" s="316">
        <f>SUM(G20:G29)</f>
        <v>54.86</v>
      </c>
      <c r="H30" s="357">
        <f t="shared" si="1"/>
        <v>838.47</v>
      </c>
      <c r="I30" s="316">
        <f t="shared" si="1"/>
        <v>858.06999999999994</v>
      </c>
      <c r="J30" s="316">
        <f t="shared" si="1"/>
        <v>857.59</v>
      </c>
      <c r="K30" s="460">
        <f t="shared" si="1"/>
        <v>892.59000000000015</v>
      </c>
      <c r="L30" s="315">
        <f t="shared" si="1"/>
        <v>893.27</v>
      </c>
    </row>
    <row r="31" spans="1:12">
      <c r="A31" s="651" t="s">
        <v>562</v>
      </c>
      <c r="D31" s="307"/>
      <c r="F31" s="748"/>
      <c r="G31" s="748"/>
      <c r="H31" s="748"/>
      <c r="I31" s="748"/>
      <c r="J31" s="748"/>
      <c r="K31" s="748"/>
      <c r="L31" s="714" t="s">
        <v>1445</v>
      </c>
    </row>
  </sheetData>
  <mergeCells count="8">
    <mergeCell ref="A18:B18"/>
    <mergeCell ref="A30:B30"/>
    <mergeCell ref="A1:L1"/>
    <mergeCell ref="H3:L3"/>
    <mergeCell ref="A2:L2"/>
    <mergeCell ref="A5:B5"/>
    <mergeCell ref="A3:B4"/>
    <mergeCell ref="C3:G3"/>
  </mergeCells>
  <phoneticPr fontId="0" type="noConversion"/>
  <printOptions horizontalCentered="1" verticalCentered="1"/>
  <pageMargins left="0.1" right="0.1" top="0.1" bottom="0.1" header="0.7" footer="0.1"/>
  <pageSetup paperSize="9" orientation="landscape" r:id="rId1"/>
  <headerFooter alignWithMargins="0"/>
</worksheet>
</file>

<file path=xl/worksheets/sheet47.xml><?xml version="1.0" encoding="utf-8"?>
<worksheet xmlns="http://schemas.openxmlformats.org/spreadsheetml/2006/main" xmlns:r="http://schemas.openxmlformats.org/officeDocument/2006/relationships">
  <sheetPr codeName="Sheet55"/>
  <dimension ref="A1:M15"/>
  <sheetViews>
    <sheetView topLeftCell="A7" workbookViewId="0">
      <selection activeCell="M30" sqref="M30"/>
    </sheetView>
  </sheetViews>
  <sheetFormatPr defaultRowHeight="12.75"/>
  <cols>
    <col min="1" max="1" width="15.7109375" style="172" customWidth="1"/>
    <col min="2" max="2" width="9.28515625" style="172" customWidth="1"/>
    <col min="3" max="7" width="10.42578125" style="172" customWidth="1"/>
    <col min="8" max="8" width="10" style="172" customWidth="1"/>
    <col min="9" max="13" width="10.42578125" style="172" customWidth="1"/>
    <col min="14" max="16384" width="9.140625" style="172"/>
  </cols>
  <sheetData>
    <row r="1" spans="1:13" ht="17.25" customHeight="1">
      <c r="A1" s="1181" t="s">
        <v>822</v>
      </c>
      <c r="B1" s="1181"/>
      <c r="C1" s="1181"/>
      <c r="D1" s="1181"/>
      <c r="E1" s="1181"/>
      <c r="F1" s="1181"/>
      <c r="G1" s="1181"/>
      <c r="H1" s="1181"/>
      <c r="I1" s="1181"/>
      <c r="J1" s="1181"/>
      <c r="K1" s="1181"/>
      <c r="L1" s="1181"/>
      <c r="M1" s="1181"/>
    </row>
    <row r="2" spans="1:13" s="206" customFormat="1" ht="18.75" customHeight="1">
      <c r="A2" s="1231" t="str">
        <f>CONCATENATE("Area and Production of Flowers in the district of ",District!A1)</f>
        <v>Area and Production of Flowers in the district of Bankura</v>
      </c>
      <c r="B2" s="1231"/>
      <c r="C2" s="1231"/>
      <c r="D2" s="1231"/>
      <c r="E2" s="1231"/>
      <c r="F2" s="1231"/>
      <c r="G2" s="1231"/>
      <c r="H2" s="1231"/>
      <c r="I2" s="1231"/>
      <c r="J2" s="1231"/>
      <c r="K2" s="1231"/>
      <c r="L2" s="1231"/>
      <c r="M2" s="1231"/>
    </row>
    <row r="3" spans="1:13" ht="21.75" customHeight="1">
      <c r="A3" s="1194" t="s">
        <v>115</v>
      </c>
      <c r="B3" s="1193" t="s">
        <v>1508</v>
      </c>
      <c r="C3" s="1191"/>
      <c r="D3" s="1191"/>
      <c r="E3" s="1191"/>
      <c r="F3" s="1187"/>
      <c r="G3" s="1192"/>
      <c r="H3" s="1193" t="s">
        <v>1066</v>
      </c>
      <c r="I3" s="1191"/>
      <c r="J3" s="1191"/>
      <c r="K3" s="1191"/>
      <c r="L3" s="1191"/>
      <c r="M3" s="1184"/>
    </row>
    <row r="4" spans="1:13" ht="16.5" customHeight="1">
      <c r="A4" s="1195"/>
      <c r="B4" s="212" t="s">
        <v>305</v>
      </c>
      <c r="C4" s="472" t="str">
        <f>District!B11</f>
        <v>2009-10</v>
      </c>
      <c r="D4" s="628" t="str">
        <f>District!C11</f>
        <v>2010-11</v>
      </c>
      <c r="E4" s="628" t="str">
        <f>District!D11</f>
        <v>2011-12</v>
      </c>
      <c r="F4" s="472" t="str">
        <f>District!E11</f>
        <v>2012-13</v>
      </c>
      <c r="G4" s="189" t="str">
        <f>District!F11</f>
        <v>2013-14</v>
      </c>
      <c r="H4" s="58" t="s">
        <v>305</v>
      </c>
      <c r="I4" s="472" t="str">
        <f>District!B11</f>
        <v>2009-10</v>
      </c>
      <c r="J4" s="472" t="str">
        <f>District!C11</f>
        <v>2010-11</v>
      </c>
      <c r="K4" s="472" t="str">
        <f>District!D11</f>
        <v>2011-12</v>
      </c>
      <c r="L4" s="472" t="str">
        <f>District!E11</f>
        <v>2012-13</v>
      </c>
      <c r="M4" s="553" t="str">
        <f>District!F11</f>
        <v>2013-14</v>
      </c>
    </row>
    <row r="5" spans="1:13" ht="19.5" customHeight="1">
      <c r="A5" s="213" t="s">
        <v>418</v>
      </c>
      <c r="B5" s="181" t="s">
        <v>419</v>
      </c>
      <c r="C5" s="221" t="s">
        <v>420</v>
      </c>
      <c r="D5" s="222" t="s">
        <v>421</v>
      </c>
      <c r="E5" s="222" t="s">
        <v>422</v>
      </c>
      <c r="F5" s="222" t="s">
        <v>423</v>
      </c>
      <c r="G5" s="214" t="s">
        <v>424</v>
      </c>
      <c r="H5" s="221" t="s">
        <v>440</v>
      </c>
      <c r="I5" s="221" t="s">
        <v>441</v>
      </c>
      <c r="J5" s="222" t="s">
        <v>442</v>
      </c>
      <c r="K5" s="459" t="s">
        <v>443</v>
      </c>
      <c r="L5" s="507" t="s">
        <v>537</v>
      </c>
      <c r="M5" s="508" t="s">
        <v>538</v>
      </c>
    </row>
    <row r="6" spans="1:13" ht="30.75" customHeight="1">
      <c r="A6" s="509" t="s">
        <v>1067</v>
      </c>
      <c r="B6" s="866" t="s">
        <v>1258</v>
      </c>
      <c r="C6" s="510">
        <v>0.01</v>
      </c>
      <c r="D6" s="510">
        <v>0.01</v>
      </c>
      <c r="E6" s="634">
        <v>0.01</v>
      </c>
      <c r="F6" s="635">
        <v>1.0999999999999999E-2</v>
      </c>
      <c r="G6" s="635">
        <v>1.0999999999999999E-2</v>
      </c>
      <c r="H6" s="874" t="s">
        <v>204</v>
      </c>
      <c r="I6" s="949">
        <v>0.20499999999999999</v>
      </c>
      <c r="J6" s="950">
        <v>0.22</v>
      </c>
      <c r="K6" s="950">
        <v>0.222</v>
      </c>
      <c r="L6" s="959">
        <v>0.24</v>
      </c>
      <c r="M6" s="873">
        <v>0.23899999999999999</v>
      </c>
    </row>
    <row r="7" spans="1:13" ht="36" customHeight="1">
      <c r="A7" s="509" t="s">
        <v>1068</v>
      </c>
      <c r="B7" s="33" t="s">
        <v>323</v>
      </c>
      <c r="C7" s="151" t="s">
        <v>1127</v>
      </c>
      <c r="D7" s="151" t="s">
        <v>1127</v>
      </c>
      <c r="E7" s="151" t="s">
        <v>1127</v>
      </c>
      <c r="F7" s="11" t="s">
        <v>1127</v>
      </c>
      <c r="G7" s="11" t="s">
        <v>1127</v>
      </c>
      <c r="H7" s="33" t="s">
        <v>323</v>
      </c>
      <c r="I7" s="633" t="s">
        <v>1127</v>
      </c>
      <c r="J7" s="633" t="s">
        <v>1127</v>
      </c>
      <c r="K7" s="633" t="s">
        <v>1127</v>
      </c>
      <c r="L7" s="88" t="s">
        <v>1127</v>
      </c>
      <c r="M7" s="531" t="s">
        <v>1127</v>
      </c>
    </row>
    <row r="8" spans="1:13" ht="36" customHeight="1">
      <c r="A8" s="509" t="s">
        <v>1069</v>
      </c>
      <c r="B8" s="33" t="s">
        <v>323</v>
      </c>
      <c r="C8" s="151" t="s">
        <v>1127</v>
      </c>
      <c r="D8" s="151" t="s">
        <v>1127</v>
      </c>
      <c r="E8" s="151" t="s">
        <v>1127</v>
      </c>
      <c r="F8" s="11" t="s">
        <v>1127</v>
      </c>
      <c r="G8" s="11" t="s">
        <v>1127</v>
      </c>
      <c r="H8" s="33" t="s">
        <v>323</v>
      </c>
      <c r="I8" s="151" t="s">
        <v>1127</v>
      </c>
      <c r="J8" s="151" t="s">
        <v>1127</v>
      </c>
      <c r="K8" s="151" t="s">
        <v>1127</v>
      </c>
      <c r="L8" s="11" t="s">
        <v>1127</v>
      </c>
      <c r="M8" s="28" t="s">
        <v>1127</v>
      </c>
    </row>
    <row r="9" spans="1:13" ht="36" customHeight="1">
      <c r="A9" s="509" t="s">
        <v>1070</v>
      </c>
      <c r="B9" s="33" t="s">
        <v>323</v>
      </c>
      <c r="C9" s="506" t="s">
        <v>1127</v>
      </c>
      <c r="D9" s="506" t="s">
        <v>1127</v>
      </c>
      <c r="E9" s="506" t="s">
        <v>1127</v>
      </c>
      <c r="F9" s="506">
        <v>5.0000000000000001E-3</v>
      </c>
      <c r="G9" s="506">
        <v>8.0000000000000002E-3</v>
      </c>
      <c r="H9" s="33" t="s">
        <v>323</v>
      </c>
      <c r="I9" s="151" t="s">
        <v>1127</v>
      </c>
      <c r="J9" s="151" t="s">
        <v>1127</v>
      </c>
      <c r="K9" s="151" t="s">
        <v>1127</v>
      </c>
      <c r="L9" s="506">
        <v>4.2000000000000003E-2</v>
      </c>
      <c r="M9" s="938">
        <v>7.1999999999999995E-2</v>
      </c>
    </row>
    <row r="10" spans="1:13" ht="36" customHeight="1">
      <c r="A10" s="509" t="s">
        <v>1071</v>
      </c>
      <c r="B10" s="33" t="s">
        <v>323</v>
      </c>
      <c r="C10" s="189">
        <v>1.2E-2</v>
      </c>
      <c r="D10" s="189">
        <v>1.2E-2</v>
      </c>
      <c r="E10" s="302">
        <v>1.2999999999999999E-2</v>
      </c>
      <c r="F10" s="635">
        <v>0.02</v>
      </c>
      <c r="G10" s="635">
        <v>2.1999999999999999E-2</v>
      </c>
      <c r="H10" s="83" t="s">
        <v>122</v>
      </c>
      <c r="I10" s="24">
        <v>5.5E-2</v>
      </c>
      <c r="J10" s="24">
        <v>5.8999999999999997E-2</v>
      </c>
      <c r="K10" s="24">
        <v>6.4000000000000001E-2</v>
      </c>
      <c r="L10" s="189">
        <v>9.9000000000000005E-2</v>
      </c>
      <c r="M10" s="184">
        <v>0.105</v>
      </c>
    </row>
    <row r="11" spans="1:13" ht="36" customHeight="1">
      <c r="A11" s="509" t="s">
        <v>1072</v>
      </c>
      <c r="B11" s="33" t="s">
        <v>323</v>
      </c>
      <c r="C11" s="151" t="s">
        <v>1127</v>
      </c>
      <c r="D11" s="151" t="s">
        <v>1127</v>
      </c>
      <c r="E11" s="151" t="s">
        <v>1127</v>
      </c>
      <c r="F11" s="11" t="s">
        <v>1127</v>
      </c>
      <c r="G11" s="11" t="s">
        <v>1127</v>
      </c>
      <c r="H11" s="33" t="s">
        <v>323</v>
      </c>
      <c r="I11" s="151" t="s">
        <v>1127</v>
      </c>
      <c r="J11" s="151" t="s">
        <v>1127</v>
      </c>
      <c r="K11" s="151" t="s">
        <v>1127</v>
      </c>
      <c r="L11" s="11" t="s">
        <v>1127</v>
      </c>
      <c r="M11" s="28" t="s">
        <v>1127</v>
      </c>
    </row>
    <row r="12" spans="1:13" ht="36" customHeight="1">
      <c r="A12" s="509" t="s">
        <v>1073</v>
      </c>
      <c r="B12" s="33" t="s">
        <v>323</v>
      </c>
      <c r="C12" s="189">
        <v>2.1999999999999999E-2</v>
      </c>
      <c r="D12" s="189">
        <v>2.1999999999999999E-2</v>
      </c>
      <c r="E12" s="302">
        <v>2.1999999999999999E-2</v>
      </c>
      <c r="F12" s="302">
        <v>2.5000000000000001E-2</v>
      </c>
      <c r="G12" s="302">
        <v>2.5000000000000001E-2</v>
      </c>
      <c r="H12" s="33" t="s">
        <v>323</v>
      </c>
      <c r="I12" s="24">
        <v>3.5000000000000003E-2</v>
      </c>
      <c r="J12" s="24">
        <v>3.5000000000000003E-2</v>
      </c>
      <c r="K12" s="24">
        <v>3.5000000000000003E-2</v>
      </c>
      <c r="L12" s="189">
        <v>3.9E-2</v>
      </c>
      <c r="M12" s="1128">
        <v>0.04</v>
      </c>
    </row>
    <row r="13" spans="1:13" ht="36" customHeight="1">
      <c r="A13" s="511" t="s">
        <v>744</v>
      </c>
      <c r="B13" s="41" t="s">
        <v>323</v>
      </c>
      <c r="C13" s="636">
        <v>0.01</v>
      </c>
      <c r="D13" s="636">
        <v>0.01</v>
      </c>
      <c r="E13" s="636">
        <v>1.4999999999999999E-2</v>
      </c>
      <c r="F13" s="636">
        <v>1.7000000000000001E-2</v>
      </c>
      <c r="G13" s="636">
        <v>1.7999999999999999E-2</v>
      </c>
      <c r="H13" s="41" t="s">
        <v>323</v>
      </c>
      <c r="I13" s="506">
        <v>1.4999999999999999E-2</v>
      </c>
      <c r="J13" s="506">
        <v>1.7000000000000001E-2</v>
      </c>
      <c r="K13" s="636">
        <v>0.03</v>
      </c>
      <c r="L13" s="636">
        <v>3.3000000000000002E-2</v>
      </c>
      <c r="M13" s="875">
        <v>3.3000000000000002E-2</v>
      </c>
    </row>
    <row r="14" spans="1:13" ht="12.75" customHeight="1">
      <c r="A14" s="741"/>
      <c r="B14" s="266"/>
      <c r="C14" s="266"/>
      <c r="D14" s="492"/>
      <c r="F14" s="728"/>
      <c r="G14" s="728"/>
      <c r="H14" s="728"/>
      <c r="I14" s="728"/>
      <c r="J14" s="728"/>
      <c r="K14" s="728"/>
      <c r="L14" s="99"/>
      <c r="M14" s="786" t="s">
        <v>1446</v>
      </c>
    </row>
    <row r="15" spans="1:13" ht="12.75" customHeight="1">
      <c r="A15" s="266"/>
      <c r="B15" s="266"/>
      <c r="C15" s="266"/>
      <c r="D15" s="492"/>
      <c r="E15" s="113"/>
      <c r="F15" s="113"/>
      <c r="G15" s="113"/>
      <c r="H15" s="113"/>
      <c r="I15" s="113"/>
      <c r="J15" s="113"/>
      <c r="K15" s="113"/>
      <c r="L15" s="113"/>
      <c r="M15" s="113"/>
    </row>
  </sheetData>
  <mergeCells count="5">
    <mergeCell ref="A1:M1"/>
    <mergeCell ref="A2:M2"/>
    <mergeCell ref="A3:A4"/>
    <mergeCell ref="B3:G3"/>
    <mergeCell ref="H3:M3"/>
  </mergeCells>
  <phoneticPr fontId="0" type="noConversion"/>
  <printOptions horizontalCentered="1" verticalCentered="1"/>
  <pageMargins left="0.1" right="0.1" top="0.1" bottom="0.14000000000000001" header="0.5" footer="0.14000000000000001"/>
  <pageSetup paperSize="9" orientation="landscape" r:id="rId1"/>
  <headerFooter alignWithMargins="0"/>
</worksheet>
</file>

<file path=xl/worksheets/sheet48.xml><?xml version="1.0" encoding="utf-8"?>
<worksheet xmlns="http://schemas.openxmlformats.org/spreadsheetml/2006/main" xmlns:r="http://schemas.openxmlformats.org/officeDocument/2006/relationships">
  <sheetPr codeName="Sheet41"/>
  <dimension ref="A1:I24"/>
  <sheetViews>
    <sheetView topLeftCell="B4" workbookViewId="0">
      <selection activeCell="M30" sqref="M30"/>
    </sheetView>
  </sheetViews>
  <sheetFormatPr defaultRowHeight="12.75"/>
  <cols>
    <col min="1" max="1" width="1.7109375" style="172" hidden="1" customWidth="1"/>
    <col min="2" max="2" width="32" style="172" customWidth="1"/>
    <col min="3" max="3" width="18.140625" style="172" customWidth="1"/>
    <col min="4" max="8" width="15.140625" style="172" customWidth="1"/>
    <col min="9" max="16384" width="9.140625" style="172"/>
  </cols>
  <sheetData>
    <row r="1" spans="2:8" ht="13.5" customHeight="1">
      <c r="B1" s="1181" t="s">
        <v>823</v>
      </c>
      <c r="C1" s="1181"/>
      <c r="D1" s="1181"/>
      <c r="E1" s="1181"/>
      <c r="F1" s="1181"/>
      <c r="G1" s="1181"/>
      <c r="H1" s="1181"/>
    </row>
    <row r="2" spans="2:8" s="206" customFormat="1" ht="33.75" customHeight="1">
      <c r="B2" s="1400" t="str">
        <f>CONCATENATE("Classification of Forest Area, Out-turn of Forest Produce, Revenue and Expenditure 
of Forest Department in the district of ",District!$A$1)</f>
        <v>Classification of Forest Area, Out-turn of Forest Produce, Revenue and Expenditure 
of Forest Department in the district of Bankura</v>
      </c>
      <c r="C2" s="1400"/>
      <c r="D2" s="1400"/>
      <c r="E2" s="1400"/>
      <c r="F2" s="1400"/>
      <c r="G2" s="1400"/>
      <c r="H2" s="1400"/>
    </row>
    <row r="3" spans="2:8" ht="18" customHeight="1">
      <c r="B3" s="117" t="s">
        <v>1074</v>
      </c>
      <c r="C3" s="58" t="s">
        <v>305</v>
      </c>
      <c r="D3" s="471" t="str">
        <f>District!B11</f>
        <v>2009-10</v>
      </c>
      <c r="E3" s="471" t="str">
        <f>District!C11</f>
        <v>2010-11</v>
      </c>
      <c r="F3" s="471" t="str">
        <f>District!D11</f>
        <v>2011-12</v>
      </c>
      <c r="G3" s="471" t="str">
        <f>District!E11</f>
        <v>2012-13</v>
      </c>
      <c r="H3" s="471" t="str">
        <f>District!F11</f>
        <v>2013-14</v>
      </c>
    </row>
    <row r="4" spans="2:8" ht="18" customHeight="1">
      <c r="B4" s="221" t="s">
        <v>418</v>
      </c>
      <c r="C4" s="213" t="s">
        <v>419</v>
      </c>
      <c r="D4" s="222" t="s">
        <v>420</v>
      </c>
      <c r="E4" s="221" t="s">
        <v>421</v>
      </c>
      <c r="F4" s="213" t="s">
        <v>422</v>
      </c>
      <c r="G4" s="221" t="s">
        <v>423</v>
      </c>
      <c r="H4" s="213" t="s">
        <v>424</v>
      </c>
    </row>
    <row r="5" spans="2:8" ht="18" customHeight="1">
      <c r="B5" s="344" t="s">
        <v>888</v>
      </c>
      <c r="C5" s="74"/>
      <c r="D5" s="117"/>
      <c r="E5" s="117"/>
      <c r="F5" s="117"/>
      <c r="G5" s="117"/>
      <c r="H5" s="58"/>
    </row>
    <row r="6" spans="2:8" ht="18" customHeight="1">
      <c r="B6" s="202" t="s">
        <v>1075</v>
      </c>
      <c r="C6" s="33" t="s">
        <v>1259</v>
      </c>
      <c r="D6" s="246">
        <v>4449</v>
      </c>
      <c r="E6" s="183">
        <v>4572</v>
      </c>
      <c r="F6" s="186">
        <v>4571.87</v>
      </c>
      <c r="G6" s="281">
        <v>4571.87</v>
      </c>
      <c r="H6" s="186">
        <v>5222</v>
      </c>
    </row>
    <row r="7" spans="2:8" ht="18" customHeight="1">
      <c r="B7" s="202" t="s">
        <v>1076</v>
      </c>
      <c r="C7" s="33" t="s">
        <v>323</v>
      </c>
      <c r="D7" s="246">
        <v>132002</v>
      </c>
      <c r="E7" s="183">
        <v>136230</v>
      </c>
      <c r="F7" s="281">
        <v>136230.10999999999</v>
      </c>
      <c r="G7" s="281">
        <v>136230.10999999999</v>
      </c>
      <c r="H7" s="281">
        <v>122733</v>
      </c>
    </row>
    <row r="8" spans="2:8" ht="18" customHeight="1">
      <c r="B8" s="202" t="s">
        <v>1078</v>
      </c>
      <c r="C8" s="33" t="s">
        <v>323</v>
      </c>
      <c r="D8" s="246">
        <v>2713</v>
      </c>
      <c r="E8" s="183">
        <v>2238</v>
      </c>
      <c r="F8" s="281">
        <v>2237.91</v>
      </c>
      <c r="G8" s="281">
        <v>2237.91</v>
      </c>
      <c r="H8" s="281">
        <v>16462</v>
      </c>
    </row>
    <row r="9" spans="2:8" ht="18" customHeight="1">
      <c r="B9" s="202" t="s">
        <v>1079</v>
      </c>
      <c r="C9" s="33" t="s">
        <v>323</v>
      </c>
      <c r="D9" s="444" t="s">
        <v>1127</v>
      </c>
      <c r="E9" s="444" t="s">
        <v>1127</v>
      </c>
      <c r="F9" s="956" t="s">
        <v>1127</v>
      </c>
      <c r="G9" s="281" t="s">
        <v>1127</v>
      </c>
      <c r="H9" s="281" t="s">
        <v>1127</v>
      </c>
    </row>
    <row r="10" spans="2:8" ht="18" customHeight="1">
      <c r="B10" s="202" t="s">
        <v>1397</v>
      </c>
      <c r="C10" s="33" t="s">
        <v>323</v>
      </c>
      <c r="D10" s="444" t="s">
        <v>1127</v>
      </c>
      <c r="E10" s="444" t="s">
        <v>1127</v>
      </c>
      <c r="F10" s="956" t="s">
        <v>1127</v>
      </c>
      <c r="G10" s="281" t="s">
        <v>1127</v>
      </c>
      <c r="H10" s="281" t="s">
        <v>1127</v>
      </c>
    </row>
    <row r="11" spans="2:8" ht="18" customHeight="1">
      <c r="B11" s="202" t="s">
        <v>1083</v>
      </c>
      <c r="C11" s="33" t="s">
        <v>323</v>
      </c>
      <c r="D11" s="444" t="s">
        <v>1127</v>
      </c>
      <c r="E11" s="444" t="s">
        <v>1127</v>
      </c>
      <c r="F11" s="956" t="s">
        <v>1127</v>
      </c>
      <c r="G11" s="281" t="s">
        <v>1127</v>
      </c>
      <c r="H11" s="281" t="s">
        <v>1127</v>
      </c>
    </row>
    <row r="12" spans="2:8" ht="18" customHeight="1">
      <c r="B12" s="202" t="s">
        <v>1080</v>
      </c>
      <c r="C12" s="33" t="s">
        <v>323</v>
      </c>
      <c r="D12" s="439" t="s">
        <v>1127</v>
      </c>
      <c r="E12" s="439" t="s">
        <v>1127</v>
      </c>
      <c r="F12" s="957" t="s">
        <v>1127</v>
      </c>
      <c r="G12" s="283" t="s">
        <v>1127</v>
      </c>
      <c r="H12" s="283" t="s">
        <v>1127</v>
      </c>
    </row>
    <row r="13" spans="2:8" ht="18" customHeight="1">
      <c r="B13" s="209" t="s">
        <v>439</v>
      </c>
      <c r="C13" s="179"/>
      <c r="D13" s="209">
        <f>SUM(D6:D12)</f>
        <v>139164</v>
      </c>
      <c r="E13" s="209">
        <v>143040</v>
      </c>
      <c r="F13" s="358">
        <f>SUM(F6:F12)</f>
        <v>143039.88999999998</v>
      </c>
      <c r="G13" s="358">
        <f>SUM(G6:G12)</f>
        <v>143039.88999999998</v>
      </c>
      <c r="H13" s="588">
        <f>SUM(H6:H12)</f>
        <v>144417</v>
      </c>
    </row>
    <row r="14" spans="2:8" ht="18" customHeight="1">
      <c r="B14" s="344" t="s">
        <v>616</v>
      </c>
      <c r="C14" s="94"/>
      <c r="D14" s="245"/>
      <c r="E14" s="245"/>
      <c r="F14" s="857"/>
      <c r="G14" s="857"/>
      <c r="H14" s="641"/>
    </row>
    <row r="15" spans="2:8" ht="25.5" customHeight="1">
      <c r="B15" s="202" t="s">
        <v>1084</v>
      </c>
      <c r="C15" s="612" t="s">
        <v>1260</v>
      </c>
      <c r="D15" s="166">
        <v>4918.4139999999998</v>
      </c>
      <c r="E15" s="246">
        <v>546.63</v>
      </c>
      <c r="F15" s="343">
        <v>840.44</v>
      </c>
      <c r="G15" s="166">
        <v>765.51</v>
      </c>
      <c r="H15" s="343">
        <v>6972.17</v>
      </c>
    </row>
    <row r="16" spans="2:8" ht="18" customHeight="1">
      <c r="B16" s="202" t="s">
        <v>1085</v>
      </c>
      <c r="C16" s="33" t="s">
        <v>323</v>
      </c>
      <c r="D16" s="166">
        <v>8945.4320000000007</v>
      </c>
      <c r="E16" s="246">
        <v>950.23</v>
      </c>
      <c r="F16" s="343">
        <v>3597.23</v>
      </c>
      <c r="G16" s="166">
        <v>2532.54</v>
      </c>
      <c r="H16" s="343">
        <v>21233.41</v>
      </c>
    </row>
    <row r="17" spans="2:9" ht="18" customHeight="1">
      <c r="B17" s="202" t="s">
        <v>1087</v>
      </c>
      <c r="C17" s="183" t="s">
        <v>308</v>
      </c>
      <c r="D17" s="246">
        <v>171892</v>
      </c>
      <c r="E17" s="246">
        <v>307030</v>
      </c>
      <c r="F17" s="281">
        <v>433335</v>
      </c>
      <c r="G17" s="850">
        <v>514189</v>
      </c>
      <c r="H17" s="281">
        <v>556065</v>
      </c>
    </row>
    <row r="18" spans="2:9" ht="18" customHeight="1">
      <c r="B18" s="344" t="s">
        <v>617</v>
      </c>
      <c r="C18" s="94"/>
      <c r="D18" s="406"/>
      <c r="E18" s="406"/>
      <c r="F18" s="958"/>
      <c r="G18" s="850"/>
      <c r="H18" s="281"/>
    </row>
    <row r="19" spans="2:9" ht="25.5" customHeight="1">
      <c r="B19" s="202" t="s">
        <v>1088</v>
      </c>
      <c r="C19" s="612" t="s">
        <v>873</v>
      </c>
      <c r="D19" s="246">
        <v>148972</v>
      </c>
      <c r="E19" s="246">
        <v>170799</v>
      </c>
      <c r="F19" s="281">
        <v>181725</v>
      </c>
      <c r="G19" s="850">
        <v>210569.16</v>
      </c>
      <c r="H19" s="281">
        <v>315776</v>
      </c>
    </row>
    <row r="20" spans="2:9" ht="25.5" customHeight="1">
      <c r="B20" s="554" t="s">
        <v>1089</v>
      </c>
      <c r="C20" s="41" t="s">
        <v>323</v>
      </c>
      <c r="D20" s="551">
        <v>543342</v>
      </c>
      <c r="E20" s="551">
        <v>631482</v>
      </c>
      <c r="F20" s="283">
        <v>487295.91</v>
      </c>
      <c r="G20" s="551">
        <v>158652.10999999999</v>
      </c>
      <c r="H20" s="283">
        <v>215707</v>
      </c>
    </row>
    <row r="21" spans="2:9" ht="16.5" customHeight="1">
      <c r="B21" s="610"/>
      <c r="C21" s="266"/>
      <c r="D21" s="266"/>
      <c r="E21" s="718" t="s">
        <v>487</v>
      </c>
      <c r="F21" s="742" t="s">
        <v>1450</v>
      </c>
      <c r="G21" s="742"/>
      <c r="H21" s="742"/>
      <c r="I21" s="420"/>
    </row>
    <row r="22" spans="2:9">
      <c r="B22" s="266"/>
      <c r="C22" s="258"/>
      <c r="D22" s="258"/>
      <c r="E22" s="718" t="s">
        <v>488</v>
      </c>
      <c r="F22" s="1401" t="s">
        <v>179</v>
      </c>
      <c r="G22" s="1402"/>
      <c r="H22" s="1402"/>
      <c r="I22" s="55"/>
    </row>
    <row r="23" spans="2:9">
      <c r="B23" s="266"/>
      <c r="C23" s="266"/>
      <c r="D23" s="266"/>
      <c r="E23" s="516"/>
      <c r="F23" s="1402"/>
      <c r="G23" s="1402"/>
      <c r="H23" s="1402"/>
      <c r="I23" s="55"/>
    </row>
    <row r="24" spans="2:9">
      <c r="F24" s="55"/>
    </row>
  </sheetData>
  <mergeCells count="3">
    <mergeCell ref="B1:H1"/>
    <mergeCell ref="B2:H2"/>
    <mergeCell ref="F22:H23"/>
  </mergeCells>
  <phoneticPr fontId="0" type="noConversion"/>
  <printOptions horizontalCentered="1" verticalCentered="1"/>
  <pageMargins left="0" right="0" top="0.1" bottom="0" header="0.5" footer="0.16"/>
  <pageSetup paperSize="9" orientation="landscape" copies="2" r:id="rId1"/>
  <headerFooter alignWithMargins="0"/>
</worksheet>
</file>

<file path=xl/worksheets/sheet49.xml><?xml version="1.0" encoding="utf-8"?>
<worksheet xmlns="http://schemas.openxmlformats.org/spreadsheetml/2006/main" xmlns:r="http://schemas.openxmlformats.org/officeDocument/2006/relationships">
  <sheetPr codeName="Sheet58"/>
  <dimension ref="A1:N68"/>
  <sheetViews>
    <sheetView topLeftCell="B1" workbookViewId="0">
      <selection activeCell="M30" sqref="M30"/>
    </sheetView>
  </sheetViews>
  <sheetFormatPr defaultRowHeight="12.75"/>
  <cols>
    <col min="1" max="1" width="3.28515625" style="172" hidden="1" customWidth="1"/>
    <col min="2" max="2" width="14" style="172" customWidth="1"/>
    <col min="3" max="3" width="13.140625" style="172" customWidth="1"/>
    <col min="4" max="12" width="11.28515625" style="172" customWidth="1"/>
    <col min="13" max="16384" width="9.140625" style="172"/>
  </cols>
  <sheetData>
    <row r="1" spans="2:14" ht="21" customHeight="1">
      <c r="B1" s="1181" t="s">
        <v>824</v>
      </c>
      <c r="C1" s="1181"/>
      <c r="D1" s="1181"/>
      <c r="E1" s="1181"/>
      <c r="F1" s="1181"/>
      <c r="G1" s="1181"/>
      <c r="H1" s="1181"/>
      <c r="I1" s="1181"/>
      <c r="J1" s="1181"/>
      <c r="K1" s="1181"/>
      <c r="L1" s="1181"/>
    </row>
    <row r="2" spans="2:14" s="206" customFormat="1" ht="18" customHeight="1">
      <c r="B2" s="1231" t="str">
        <f>CONCATENATE("Area Irrigated by different sources in the district of ",District!A1)</f>
        <v>Area Irrigated by different sources in the district of Bankura</v>
      </c>
      <c r="C2" s="1231"/>
      <c r="D2" s="1231"/>
      <c r="E2" s="1231"/>
      <c r="F2" s="1231"/>
      <c r="G2" s="1231"/>
      <c r="H2" s="1231"/>
      <c r="I2" s="1231"/>
      <c r="J2" s="1231"/>
      <c r="K2" s="1231"/>
      <c r="L2" s="1231"/>
    </row>
    <row r="3" spans="2:14" ht="12" customHeight="1">
      <c r="B3" s="259"/>
      <c r="C3" s="259"/>
      <c r="D3" s="259"/>
      <c r="E3" s="259"/>
      <c r="F3" s="259"/>
      <c r="G3" s="259"/>
      <c r="H3" s="512"/>
      <c r="I3" s="259"/>
      <c r="J3" s="259"/>
      <c r="K3" s="259"/>
      <c r="L3" s="113" t="s">
        <v>1027</v>
      </c>
    </row>
    <row r="4" spans="2:14" ht="15.2" customHeight="1">
      <c r="B4" s="1196" t="s">
        <v>304</v>
      </c>
      <c r="C4" s="1191" t="s">
        <v>21</v>
      </c>
      <c r="D4" s="1191"/>
      <c r="E4" s="1191"/>
      <c r="F4" s="1191"/>
      <c r="G4" s="1191"/>
      <c r="H4" s="1191"/>
      <c r="I4" s="1191"/>
      <c r="J4" s="1191"/>
      <c r="K4" s="1191"/>
      <c r="L4" s="1192"/>
    </row>
    <row r="5" spans="2:14" ht="15.2" customHeight="1">
      <c r="B5" s="1197"/>
      <c r="C5" s="232" t="s">
        <v>205</v>
      </c>
      <c r="D5" s="212" t="s">
        <v>1090</v>
      </c>
      <c r="E5" s="40" t="s">
        <v>1091</v>
      </c>
      <c r="F5" s="212" t="s">
        <v>1092</v>
      </c>
      <c r="G5" s="40" t="s">
        <v>1093</v>
      </c>
      <c r="H5" s="212" t="s">
        <v>1099</v>
      </c>
      <c r="I5" s="40" t="s">
        <v>1100</v>
      </c>
      <c r="J5" s="212" t="s">
        <v>1101</v>
      </c>
      <c r="K5" s="212" t="s">
        <v>592</v>
      </c>
      <c r="L5" s="412" t="s">
        <v>439</v>
      </c>
    </row>
    <row r="6" spans="2:14" ht="15.2" customHeight="1">
      <c r="B6" s="213" t="s">
        <v>418</v>
      </c>
      <c r="C6" s="221" t="s">
        <v>419</v>
      </c>
      <c r="D6" s="213" t="s">
        <v>420</v>
      </c>
      <c r="E6" s="222" t="s">
        <v>421</v>
      </c>
      <c r="F6" s="213" t="s">
        <v>422</v>
      </c>
      <c r="G6" s="222" t="s">
        <v>423</v>
      </c>
      <c r="H6" s="213" t="s">
        <v>424</v>
      </c>
      <c r="I6" s="222" t="s">
        <v>440</v>
      </c>
      <c r="J6" s="213" t="s">
        <v>441</v>
      </c>
      <c r="K6" s="459" t="s">
        <v>442</v>
      </c>
      <c r="L6" s="215" t="s">
        <v>443</v>
      </c>
    </row>
    <row r="7" spans="2:14" ht="18" customHeight="1">
      <c r="B7" s="117" t="str">
        <f>District!B16</f>
        <v>2009-10</v>
      </c>
      <c r="C7" s="645">
        <v>152.04</v>
      </c>
      <c r="D7" s="513">
        <v>35.020000000000003</v>
      </c>
      <c r="E7" s="645">
        <v>0.95</v>
      </c>
      <c r="F7" s="513">
        <v>2.5</v>
      </c>
      <c r="G7" s="645">
        <v>1.1399999999999999</v>
      </c>
      <c r="H7" s="513">
        <v>56.45</v>
      </c>
      <c r="I7" s="645">
        <v>10.3</v>
      </c>
      <c r="J7" s="513">
        <v>3.43</v>
      </c>
      <c r="K7" s="645">
        <v>5.2</v>
      </c>
      <c r="L7" s="62">
        <v>267.02999999999997</v>
      </c>
    </row>
    <row r="8" spans="2:14" ht="18" customHeight="1">
      <c r="B8" s="29" t="str">
        <f>District!B17</f>
        <v>2010-11</v>
      </c>
      <c r="C8" s="183" t="s">
        <v>140</v>
      </c>
      <c r="D8" s="167">
        <v>19.29</v>
      </c>
      <c r="E8" s="343">
        <v>1.03</v>
      </c>
      <c r="F8" s="167">
        <v>2.54</v>
      </c>
      <c r="G8" s="343">
        <v>1.1599999999999999</v>
      </c>
      <c r="H8" s="167">
        <v>50.8</v>
      </c>
      <c r="I8" s="343">
        <v>6.24</v>
      </c>
      <c r="J8" s="167">
        <v>2.0099999999999998</v>
      </c>
      <c r="K8" s="343">
        <v>5.77</v>
      </c>
      <c r="L8" s="62">
        <v>115.2</v>
      </c>
    </row>
    <row r="9" spans="2:14" ht="18" customHeight="1">
      <c r="B9" s="29" t="str">
        <f>District!B18</f>
        <v>2011-12</v>
      </c>
      <c r="C9" s="343">
        <v>183.21</v>
      </c>
      <c r="D9" s="167">
        <v>27.8</v>
      </c>
      <c r="E9" s="343">
        <v>0.8</v>
      </c>
      <c r="F9" s="167">
        <v>2.94</v>
      </c>
      <c r="G9" s="343">
        <v>1.42</v>
      </c>
      <c r="H9" s="167">
        <v>54.49</v>
      </c>
      <c r="I9" s="343">
        <v>8.8800000000000008</v>
      </c>
      <c r="J9" s="167">
        <v>2.42</v>
      </c>
      <c r="K9" s="343">
        <v>6.33</v>
      </c>
      <c r="L9" s="62">
        <v>288.29000000000002</v>
      </c>
    </row>
    <row r="10" spans="2:14" ht="18" customHeight="1">
      <c r="B10" s="29" t="str">
        <f>District!B19</f>
        <v>2012-13</v>
      </c>
      <c r="C10" s="343">
        <v>153.32</v>
      </c>
      <c r="D10" s="167">
        <v>29.19</v>
      </c>
      <c r="E10" s="343">
        <v>0.8</v>
      </c>
      <c r="F10" s="167">
        <v>2.94</v>
      </c>
      <c r="G10" s="343">
        <v>1.42</v>
      </c>
      <c r="H10" s="167" t="s">
        <v>301</v>
      </c>
      <c r="I10" s="343">
        <v>19.04</v>
      </c>
      <c r="J10" s="167">
        <v>2.37</v>
      </c>
      <c r="K10" s="343">
        <v>6.59</v>
      </c>
      <c r="L10" s="62">
        <v>268.85000000000002</v>
      </c>
    </row>
    <row r="11" spans="2:14" ht="18" customHeight="1">
      <c r="B11" s="56" t="str">
        <f>District!B20</f>
        <v>2013-14</v>
      </c>
      <c r="C11" s="514">
        <v>144.07900000000001</v>
      </c>
      <c r="D11" s="165">
        <v>30.103999999999999</v>
      </c>
      <c r="E11" s="514">
        <v>0.8</v>
      </c>
      <c r="F11" s="165">
        <v>3.02</v>
      </c>
      <c r="G11" s="514">
        <v>1.476</v>
      </c>
      <c r="H11" s="165">
        <v>53.798000000000002</v>
      </c>
      <c r="I11" s="514">
        <v>19.22</v>
      </c>
      <c r="J11" s="165">
        <v>2.4609999999999999</v>
      </c>
      <c r="K11" s="514">
        <v>6.5179999999999998</v>
      </c>
      <c r="L11" s="584">
        <v>261.48</v>
      </c>
      <c r="N11" s="267"/>
    </row>
    <row r="12" spans="2:14" ht="15" customHeight="1">
      <c r="B12" s="515"/>
      <c r="C12" s="813"/>
      <c r="D12" s="55"/>
      <c r="E12" s="1403" t="s">
        <v>1328</v>
      </c>
      <c r="F12" s="1404"/>
      <c r="H12" s="725" t="s">
        <v>1028</v>
      </c>
      <c r="I12" s="726" t="s">
        <v>710</v>
      </c>
      <c r="J12" s="726"/>
      <c r="K12" s="95"/>
      <c r="L12" s="95"/>
    </row>
    <row r="13" spans="2:14" ht="14.1" customHeight="1">
      <c r="C13" s="84"/>
      <c r="D13" s="55"/>
      <c r="E13" s="1405"/>
      <c r="F13" s="1405"/>
      <c r="G13" s="266"/>
      <c r="H13" s="651"/>
      <c r="I13" s="726" t="s">
        <v>206</v>
      </c>
      <c r="J13" s="726"/>
      <c r="K13" s="95"/>
      <c r="L13" s="95"/>
    </row>
    <row r="14" spans="2:14" ht="14.1" customHeight="1">
      <c r="C14" s="84"/>
      <c r="D14" s="55"/>
      <c r="G14" s="95"/>
      <c r="H14" s="651"/>
      <c r="I14" s="726" t="s">
        <v>1448</v>
      </c>
      <c r="J14" s="516"/>
      <c r="K14" s="266"/>
      <c r="L14" s="266"/>
    </row>
    <row r="15" spans="2:14" ht="14.1" customHeight="1">
      <c r="C15" s="84"/>
      <c r="D15" s="55"/>
      <c r="E15" s="651" t="s">
        <v>303</v>
      </c>
      <c r="G15" s="96"/>
      <c r="H15" s="516"/>
      <c r="I15" s="516"/>
      <c r="J15" s="516"/>
      <c r="K15" s="266"/>
      <c r="L15" s="266"/>
    </row>
    <row r="16" spans="2:14" ht="14.1" customHeight="1">
      <c r="C16" s="84"/>
      <c r="D16" s="55"/>
      <c r="G16" s="96"/>
      <c r="H16" s="96"/>
      <c r="I16" s="96"/>
      <c r="J16" s="266"/>
      <c r="K16" s="266"/>
      <c r="L16" s="266"/>
    </row>
    <row r="17" spans="2:12" ht="14.1" customHeight="1">
      <c r="C17" s="84"/>
      <c r="D17" s="55"/>
      <c r="E17" s="55"/>
      <c r="F17" s="96"/>
      <c r="G17" s="96"/>
      <c r="H17" s="96"/>
      <c r="I17" s="96"/>
      <c r="J17" s="266"/>
      <c r="K17" s="266"/>
      <c r="L17" s="266"/>
    </row>
    <row r="18" spans="2:12" ht="14.1" customHeight="1">
      <c r="B18" s="55"/>
      <c r="C18" s="55"/>
      <c r="D18" s="55"/>
      <c r="E18" s="55"/>
      <c r="F18" s="266"/>
      <c r="G18" s="266"/>
      <c r="H18" s="266"/>
      <c r="I18" s="266"/>
      <c r="J18" s="266"/>
      <c r="K18" s="266"/>
      <c r="L18" s="266"/>
    </row>
    <row r="19" spans="2:12" ht="13.5" customHeight="1">
      <c r="C19" s="1181" t="s">
        <v>825</v>
      </c>
      <c r="D19" s="1181"/>
      <c r="E19" s="1181"/>
      <c r="F19" s="1181"/>
      <c r="G19" s="1181"/>
      <c r="H19" s="1181"/>
      <c r="I19" s="1181"/>
      <c r="J19" s="1181"/>
      <c r="K19" s="1181"/>
      <c r="L19" s="266"/>
    </row>
    <row r="20" spans="2:12" s="206" customFormat="1" ht="18" customHeight="1">
      <c r="B20" s="172"/>
      <c r="C20" s="1231" t="str">
        <f>CONCATENATE("Sources of Irrigation in the district of ", District!A1)</f>
        <v>Sources of Irrigation in the district of Bankura</v>
      </c>
      <c r="D20" s="1231"/>
      <c r="E20" s="1231"/>
      <c r="F20" s="1231"/>
      <c r="G20" s="1231"/>
      <c r="H20" s="1231"/>
      <c r="I20" s="1231"/>
      <c r="J20" s="1231"/>
      <c r="K20" s="1231"/>
      <c r="L20" s="259"/>
    </row>
    <row r="21" spans="2:12" ht="12.75" customHeight="1">
      <c r="B21" s="206"/>
      <c r="C21" s="259"/>
      <c r="D21" s="259"/>
      <c r="E21" s="259"/>
      <c r="F21" s="259"/>
      <c r="G21" s="259"/>
      <c r="H21" s="259"/>
      <c r="I21" s="259"/>
      <c r="J21" s="259"/>
      <c r="K21" s="84" t="s">
        <v>452</v>
      </c>
      <c r="L21" s="266"/>
    </row>
    <row r="22" spans="2:12" ht="14.25" customHeight="1">
      <c r="C22" s="58" t="s">
        <v>304</v>
      </c>
      <c r="D22" s="232" t="s">
        <v>1090</v>
      </c>
      <c r="E22" s="212" t="s">
        <v>1091</v>
      </c>
      <c r="F22" s="232" t="s">
        <v>1092</v>
      </c>
      <c r="G22" s="212" t="s">
        <v>1093</v>
      </c>
      <c r="H22" s="232" t="s">
        <v>1099</v>
      </c>
      <c r="I22" s="212" t="s">
        <v>1100</v>
      </c>
      <c r="J22" s="232" t="s">
        <v>1101</v>
      </c>
      <c r="K22" s="212" t="s">
        <v>592</v>
      </c>
      <c r="L22" s="266"/>
    </row>
    <row r="23" spans="2:12" ht="14.25" customHeight="1">
      <c r="C23" s="213" t="s">
        <v>418</v>
      </c>
      <c r="D23" s="222" t="s">
        <v>419</v>
      </c>
      <c r="E23" s="213" t="s">
        <v>420</v>
      </c>
      <c r="F23" s="222" t="s">
        <v>421</v>
      </c>
      <c r="G23" s="213" t="s">
        <v>422</v>
      </c>
      <c r="H23" s="222" t="s">
        <v>423</v>
      </c>
      <c r="I23" s="213" t="s">
        <v>424</v>
      </c>
      <c r="J23" s="222" t="s">
        <v>440</v>
      </c>
      <c r="K23" s="213" t="s">
        <v>441</v>
      </c>
      <c r="L23" s="266"/>
    </row>
    <row r="24" spans="2:12" ht="18" customHeight="1">
      <c r="C24" s="29" t="str">
        <f>District!B16</f>
        <v>2009-10</v>
      </c>
      <c r="D24" s="183">
        <v>21011</v>
      </c>
      <c r="E24" s="189">
        <v>38</v>
      </c>
      <c r="F24" s="183">
        <v>125</v>
      </c>
      <c r="G24" s="189">
        <v>190</v>
      </c>
      <c r="H24" s="183">
        <v>28890</v>
      </c>
      <c r="I24" s="189">
        <v>436</v>
      </c>
      <c r="J24" s="183">
        <v>7272</v>
      </c>
      <c r="K24" s="184">
        <v>1191</v>
      </c>
      <c r="L24" s="266"/>
    </row>
    <row r="25" spans="2:12" ht="18" customHeight="1">
      <c r="C25" s="29" t="str">
        <f>District!B17</f>
        <v>2010-11</v>
      </c>
      <c r="D25" s="183">
        <v>21293</v>
      </c>
      <c r="E25" s="189">
        <v>41</v>
      </c>
      <c r="F25" s="183">
        <v>127</v>
      </c>
      <c r="G25" s="189">
        <v>194</v>
      </c>
      <c r="H25" s="183">
        <v>29634</v>
      </c>
      <c r="I25" s="189">
        <v>438</v>
      </c>
      <c r="J25" s="183">
        <v>6089</v>
      </c>
      <c r="K25" s="184">
        <v>1676</v>
      </c>
      <c r="L25" s="266"/>
    </row>
    <row r="26" spans="2:12" ht="18" customHeight="1">
      <c r="C26" s="29" t="str">
        <f>District!B18</f>
        <v>2011-12</v>
      </c>
      <c r="D26" s="183">
        <v>21343</v>
      </c>
      <c r="E26" s="189">
        <v>32</v>
      </c>
      <c r="F26" s="183">
        <v>147</v>
      </c>
      <c r="G26" s="189">
        <v>237</v>
      </c>
      <c r="H26" s="183">
        <v>29700</v>
      </c>
      <c r="I26" s="189">
        <v>438</v>
      </c>
      <c r="J26" s="183">
        <v>6101</v>
      </c>
      <c r="K26" s="184">
        <v>1681</v>
      </c>
      <c r="L26" s="266"/>
    </row>
    <row r="27" spans="2:12" ht="18" customHeight="1">
      <c r="C27" s="33" t="str">
        <f>District!B19</f>
        <v>2012-13</v>
      </c>
      <c r="D27" s="184">
        <v>21409</v>
      </c>
      <c r="E27" s="184">
        <v>32</v>
      </c>
      <c r="F27" s="184">
        <v>147</v>
      </c>
      <c r="G27" s="184">
        <v>237</v>
      </c>
      <c r="H27" s="184" t="s">
        <v>302</v>
      </c>
      <c r="I27" s="184">
        <v>473</v>
      </c>
      <c r="J27" s="184">
        <v>6119</v>
      </c>
      <c r="K27" s="184">
        <v>1736</v>
      </c>
      <c r="L27" s="266"/>
    </row>
    <row r="28" spans="2:12" ht="18" customHeight="1">
      <c r="C28" s="56" t="str">
        <f>District!B20</f>
        <v>2013-14</v>
      </c>
      <c r="D28" s="248">
        <v>21475</v>
      </c>
      <c r="E28" s="227">
        <v>32</v>
      </c>
      <c r="F28" s="248">
        <v>151</v>
      </c>
      <c r="G28" s="227">
        <v>246</v>
      </c>
      <c r="H28" s="248">
        <v>30005</v>
      </c>
      <c r="I28" s="227">
        <v>473</v>
      </c>
      <c r="J28" s="248">
        <v>6261</v>
      </c>
      <c r="K28" s="194">
        <v>1736</v>
      </c>
      <c r="L28" s="266"/>
    </row>
    <row r="29" spans="2:12" ht="14.1" customHeight="1">
      <c r="D29" s="55"/>
      <c r="E29" s="55"/>
      <c r="G29" s="96"/>
      <c r="H29" s="718" t="s">
        <v>1028</v>
      </c>
      <c r="I29" s="99" t="s">
        <v>207</v>
      </c>
      <c r="J29" s="306"/>
      <c r="K29" s="306"/>
      <c r="L29" s="266"/>
    </row>
    <row r="30" spans="2:12" ht="14.1" customHeight="1">
      <c r="D30" s="55"/>
      <c r="E30" s="55"/>
      <c r="F30" s="55"/>
      <c r="G30" s="651" t="s">
        <v>303</v>
      </c>
      <c r="H30" s="516"/>
      <c r="I30" s="516" t="s">
        <v>208</v>
      </c>
      <c r="J30" s="266"/>
      <c r="K30" s="266"/>
      <c r="L30" s="266"/>
    </row>
    <row r="31" spans="2:12" ht="14.1" customHeight="1">
      <c r="D31" s="55"/>
      <c r="E31" s="55"/>
      <c r="F31" s="55"/>
      <c r="G31" s="96"/>
      <c r="H31" s="516"/>
      <c r="I31" s="516" t="s">
        <v>1447</v>
      </c>
      <c r="J31" s="55"/>
      <c r="K31" s="55"/>
      <c r="L31" s="266"/>
    </row>
    <row r="32" spans="2:12" ht="14.1" customHeight="1">
      <c r="D32" s="55"/>
      <c r="E32" s="55"/>
      <c r="F32" s="55"/>
      <c r="G32" s="96"/>
      <c r="H32" s="266"/>
      <c r="I32" s="55"/>
      <c r="J32" s="55"/>
      <c r="K32" s="55"/>
      <c r="L32" s="266"/>
    </row>
    <row r="33" spans="4:12" ht="14.1" customHeight="1">
      <c r="D33" s="55"/>
      <c r="E33" s="55"/>
      <c r="F33" s="55"/>
      <c r="H33" s="266"/>
      <c r="J33" s="96"/>
      <c r="K33" s="96"/>
      <c r="L33" s="266"/>
    </row>
    <row r="34" spans="4:12" ht="14.1" customHeight="1">
      <c r="D34" s="55"/>
      <c r="E34" s="55"/>
      <c r="G34" s="96"/>
      <c r="H34" s="96"/>
      <c r="J34" s="266"/>
      <c r="K34" s="266"/>
      <c r="L34" s="266"/>
    </row>
    <row r="35" spans="4:12" ht="14.1" customHeight="1">
      <c r="E35" s="59"/>
      <c r="F35" s="59"/>
      <c r="G35" s="59"/>
      <c r="H35" s="59"/>
    </row>
    <row r="36" spans="4:12" ht="14.1" customHeight="1"/>
    <row r="37" spans="4:12" ht="14.1" customHeight="1"/>
    <row r="38" spans="4:12" ht="14.1" customHeight="1"/>
    <row r="39" spans="4:12" ht="14.1" customHeight="1"/>
    <row r="40" spans="4:12" ht="14.1" customHeight="1"/>
    <row r="41" spans="4:12" ht="14.1" customHeight="1"/>
    <row r="42" spans="4:12" ht="14.1" customHeight="1"/>
    <row r="43" spans="4:12" ht="14.1" customHeight="1"/>
    <row r="44" spans="4:12" ht="14.1" customHeight="1"/>
    <row r="45" spans="4:12" ht="9.75" customHeight="1"/>
    <row r="46" spans="4:12" ht="14.1" customHeight="1"/>
    <row r="47" spans="4:12" ht="14.1" customHeight="1"/>
    <row r="48" spans="4:12" ht="14.1" customHeight="1"/>
    <row r="49" ht="14.1" customHeight="1"/>
    <row r="50" ht="14.1" customHeight="1"/>
    <row r="51" ht="14.1" customHeight="1"/>
    <row r="52" ht="14.1" customHeight="1"/>
    <row r="53" ht="14.1" customHeight="1"/>
    <row r="54" ht="14.1" customHeight="1"/>
    <row r="55" ht="14.1" customHeight="1"/>
    <row r="56" ht="8.25" customHeight="1"/>
    <row r="57" ht="14.1" customHeight="1"/>
    <row r="58" ht="14.1" customHeight="1"/>
    <row r="59" ht="14.1" customHeight="1"/>
    <row r="60" ht="14.1" customHeight="1"/>
    <row r="61" ht="14.1" customHeight="1"/>
    <row r="62" ht="14.1" customHeight="1"/>
    <row r="63" ht="14.1" customHeight="1"/>
    <row r="64" ht="14.1" customHeight="1"/>
    <row r="65" spans="2:3" ht="14.1" customHeight="1"/>
    <row r="66" spans="2:3" ht="12" customHeight="1"/>
    <row r="67" spans="2:3" ht="13.5" customHeight="1"/>
    <row r="68" spans="2:3">
      <c r="B68" s="517"/>
      <c r="C68" s="517"/>
    </row>
  </sheetData>
  <mergeCells count="7">
    <mergeCell ref="C4:L4"/>
    <mergeCell ref="C19:K19"/>
    <mergeCell ref="C20:K20"/>
    <mergeCell ref="B1:L1"/>
    <mergeCell ref="B2:L2"/>
    <mergeCell ref="B4:B5"/>
    <mergeCell ref="E12:F13"/>
  </mergeCells>
  <phoneticPr fontId="0" type="noConversion"/>
  <printOptions horizontalCentered="1" verticalCentered="1"/>
  <pageMargins left="0.1" right="0.1" top="0.1" bottom="0.1" header="0.7" footer="0.1"/>
  <pageSetup paperSize="9" orientation="landscape" blackAndWhite="1" r:id="rId1"/>
  <headerFooter alignWithMargins="0"/>
  <legacyDrawing r:id="rId2"/>
  <oleObjects>
    <oleObject progId="Word.Document.8" shapeId="13314" r:id="rId3"/>
    <oleObject progId="Word.Document.8" shapeId="13315" r:id="rId4"/>
  </oleObjects>
</worksheet>
</file>

<file path=xl/worksheets/sheet5.xml><?xml version="1.0" encoding="utf-8"?>
<worksheet xmlns="http://schemas.openxmlformats.org/spreadsheetml/2006/main" xmlns:r="http://schemas.openxmlformats.org/officeDocument/2006/relationships">
  <sheetPr codeName="Sheet4"/>
  <dimension ref="A1:E114"/>
  <sheetViews>
    <sheetView workbookViewId="0">
      <selection activeCell="G11" sqref="G11"/>
    </sheetView>
  </sheetViews>
  <sheetFormatPr defaultRowHeight="12.75"/>
  <cols>
    <col min="1" max="1" width="39.5703125" style="266" bestFit="1" customWidth="1"/>
    <col min="2" max="2" width="19.28515625" style="266" customWidth="1"/>
    <col min="3" max="3" width="14.85546875" style="266" customWidth="1"/>
    <col min="4" max="4" width="12.7109375" style="266" customWidth="1"/>
    <col min="5" max="16384" width="9.140625" style="266"/>
  </cols>
  <sheetData>
    <row r="1" spans="1:4" s="889" customFormat="1" ht="18" customHeight="1">
      <c r="A1" s="1180" t="str">
        <f>CONCATENATE(District!$A$1," at a glance")</f>
        <v>Bankura at a glance</v>
      </c>
      <c r="B1" s="1180"/>
      <c r="C1" s="1180"/>
      <c r="D1" s="1180"/>
    </row>
    <row r="2" spans="1:4">
      <c r="A2" s="212" t="s">
        <v>299</v>
      </c>
      <c r="B2" s="212" t="s">
        <v>304</v>
      </c>
      <c r="C2" s="212" t="s">
        <v>305</v>
      </c>
      <c r="D2" s="231" t="s">
        <v>306</v>
      </c>
    </row>
    <row r="3" spans="1:4">
      <c r="A3" s="181" t="s">
        <v>418</v>
      </c>
      <c r="B3" s="181" t="s">
        <v>419</v>
      </c>
      <c r="C3" s="181" t="s">
        <v>420</v>
      </c>
      <c r="D3" s="182" t="s">
        <v>421</v>
      </c>
    </row>
    <row r="4" spans="1:4" ht="14.25" customHeight="1">
      <c r="A4" s="82" t="s">
        <v>190</v>
      </c>
      <c r="B4" s="183"/>
      <c r="C4" s="183"/>
      <c r="D4" s="184"/>
    </row>
    <row r="5" spans="1:4" ht="14.25" customHeight="1">
      <c r="A5" s="74" t="s">
        <v>885</v>
      </c>
      <c r="B5" s="183"/>
      <c r="C5" s="183"/>
      <c r="D5" s="1135" t="str">
        <f>'1.1,1.2'!F6</f>
        <v>Bankura</v>
      </c>
    </row>
    <row r="6" spans="1:4" ht="14.25" customHeight="1">
      <c r="A6" s="74" t="s">
        <v>762</v>
      </c>
      <c r="B6" s="33">
        <f>District!$B$5</f>
        <v>2014</v>
      </c>
      <c r="C6" s="33" t="s">
        <v>308</v>
      </c>
      <c r="D6" s="184" t="str">
        <f>RIGHT('2.1'!A38,1)</f>
        <v>3</v>
      </c>
    </row>
    <row r="7" spans="1:4" ht="14.25" customHeight="1">
      <c r="A7" s="74" t="s">
        <v>1417</v>
      </c>
      <c r="B7" s="33" t="s">
        <v>323</v>
      </c>
      <c r="C7" s="33" t="s">
        <v>323</v>
      </c>
      <c r="D7" s="184">
        <f>'2.1'!B38</f>
        <v>24</v>
      </c>
    </row>
    <row r="8" spans="1:4" ht="14.25" customHeight="1">
      <c r="A8" s="74" t="s">
        <v>309</v>
      </c>
      <c r="B8" s="33">
        <f>District!$B$4</f>
        <v>2011</v>
      </c>
      <c r="C8" s="33" t="s">
        <v>323</v>
      </c>
      <c r="D8" s="184">
        <f>'2.1'!H38</f>
        <v>3585</v>
      </c>
    </row>
    <row r="9" spans="1:4" ht="14.25" customHeight="1">
      <c r="A9" s="74" t="s">
        <v>740</v>
      </c>
      <c r="B9" s="33">
        <f>District!$B$7</f>
        <v>2001</v>
      </c>
      <c r="C9" s="33" t="s">
        <v>323</v>
      </c>
      <c r="D9" s="184">
        <f>'2.1'!G38</f>
        <v>3830</v>
      </c>
    </row>
    <row r="10" spans="1:4" ht="14.25" customHeight="1">
      <c r="A10" s="74" t="s">
        <v>763</v>
      </c>
      <c r="B10" s="33">
        <f>District!$B$5</f>
        <v>2014</v>
      </c>
      <c r="C10" s="33" t="s">
        <v>323</v>
      </c>
      <c r="D10" s="184" t="str">
        <f>'2.1'!J38</f>
        <v>-</v>
      </c>
    </row>
    <row r="11" spans="1:4" ht="14.25" customHeight="1">
      <c r="A11" s="74" t="s">
        <v>764</v>
      </c>
      <c r="B11" s="33" t="s">
        <v>323</v>
      </c>
      <c r="C11" s="33" t="s">
        <v>323</v>
      </c>
      <c r="D11" s="184">
        <f>'2.1'!L38</f>
        <v>3</v>
      </c>
    </row>
    <row r="12" spans="1:4" ht="14.25" customHeight="1">
      <c r="A12" s="74" t="s">
        <v>1325</v>
      </c>
      <c r="B12" s="33" t="s">
        <v>323</v>
      </c>
      <c r="C12" s="33" t="s">
        <v>323</v>
      </c>
      <c r="D12" s="184">
        <f>'16.1'!B26</f>
        <v>22</v>
      </c>
    </row>
    <row r="13" spans="1:4" ht="14.25" customHeight="1">
      <c r="A13" s="74" t="s">
        <v>1657</v>
      </c>
      <c r="B13" s="33" t="s">
        <v>323</v>
      </c>
      <c r="C13" s="33" t="s">
        <v>323</v>
      </c>
      <c r="D13" s="184">
        <f>'2.1'!D38</f>
        <v>22</v>
      </c>
    </row>
    <row r="14" spans="1:4" ht="14.25" customHeight="1">
      <c r="A14" s="74" t="s">
        <v>318</v>
      </c>
      <c r="B14" s="33" t="s">
        <v>323</v>
      </c>
      <c r="C14" s="33" t="s">
        <v>323</v>
      </c>
      <c r="D14" s="184">
        <f>'2.1'!E38</f>
        <v>190</v>
      </c>
    </row>
    <row r="15" spans="1:4" ht="14.25" customHeight="1">
      <c r="A15" s="74" t="s">
        <v>319</v>
      </c>
      <c r="B15" s="33" t="s">
        <v>323</v>
      </c>
      <c r="C15" s="33" t="s">
        <v>323</v>
      </c>
      <c r="D15" s="184">
        <f>'2.1'!F38</f>
        <v>2504</v>
      </c>
    </row>
    <row r="16" spans="1:4" ht="14.25" customHeight="1">
      <c r="A16" s="82" t="s">
        <v>320</v>
      </c>
      <c r="B16" s="33"/>
      <c r="C16" s="33"/>
      <c r="D16" s="184"/>
    </row>
    <row r="17" spans="1:4" ht="14.25" customHeight="1">
      <c r="A17" s="74" t="s">
        <v>321</v>
      </c>
      <c r="B17" s="33">
        <f>District!$B$4</f>
        <v>2011</v>
      </c>
      <c r="C17" s="33" t="s">
        <v>765</v>
      </c>
      <c r="D17" s="185">
        <f>'2.2'!$C$33</f>
        <v>6882</v>
      </c>
    </row>
    <row r="18" spans="1:4" ht="14.25" customHeight="1">
      <c r="A18" s="74" t="s">
        <v>322</v>
      </c>
      <c r="B18" s="33" t="s">
        <v>323</v>
      </c>
      <c r="C18" s="33" t="s">
        <v>308</v>
      </c>
      <c r="D18" s="184">
        <f>'2.2'!$D$33</f>
        <v>3596674</v>
      </c>
    </row>
    <row r="19" spans="1:4" ht="14.25" customHeight="1">
      <c r="A19" s="74" t="s">
        <v>1156</v>
      </c>
      <c r="B19" s="33" t="s">
        <v>323</v>
      </c>
      <c r="C19" s="33" t="s">
        <v>1324</v>
      </c>
      <c r="D19" s="186">
        <f>'2.2'!$E$33</f>
        <v>522.62045916884631</v>
      </c>
    </row>
    <row r="20" spans="1:4" ht="14.25" customHeight="1">
      <c r="A20" s="74" t="s">
        <v>1157</v>
      </c>
      <c r="B20" s="33"/>
      <c r="C20" s="33"/>
      <c r="D20" s="186"/>
    </row>
    <row r="21" spans="1:4" ht="14.25" customHeight="1">
      <c r="A21" s="74" t="s">
        <v>734</v>
      </c>
      <c r="B21" s="33" t="s">
        <v>323</v>
      </c>
      <c r="C21" s="33" t="s">
        <v>1013</v>
      </c>
      <c r="D21" s="185">
        <f>'2.3'!E17/'2.3'!C17*100</f>
        <v>51.105410165058053</v>
      </c>
    </row>
    <row r="22" spans="1:4" ht="14.25" customHeight="1">
      <c r="A22" s="74" t="s">
        <v>324</v>
      </c>
      <c r="B22" s="33" t="s">
        <v>323</v>
      </c>
      <c r="C22" s="33" t="s">
        <v>323</v>
      </c>
      <c r="D22" s="185">
        <f>'2.3'!F17/'2.3'!C17*100</f>
        <v>48.894589834941947</v>
      </c>
    </row>
    <row r="23" spans="1:4" ht="14.25" customHeight="1">
      <c r="A23" s="74" t="s">
        <v>325</v>
      </c>
      <c r="B23" s="33" t="s">
        <v>323</v>
      </c>
      <c r="C23" s="33" t="s">
        <v>323</v>
      </c>
      <c r="D23" s="184">
        <f>ROUND('2.3'!I17/'2.3'!C17*100,2)</f>
        <v>91.67</v>
      </c>
    </row>
    <row r="24" spans="1:4" ht="14.25" customHeight="1">
      <c r="A24" s="74" t="s">
        <v>326</v>
      </c>
      <c r="B24" s="33" t="s">
        <v>323</v>
      </c>
      <c r="C24" s="33" t="s">
        <v>323</v>
      </c>
      <c r="D24" s="184">
        <f>ROUND('2.3'!H17/'2.3'!C17*100,2)</f>
        <v>8.33</v>
      </c>
    </row>
    <row r="25" spans="1:4" ht="14.25" customHeight="1">
      <c r="A25" s="82" t="s">
        <v>586</v>
      </c>
      <c r="B25" s="33"/>
      <c r="C25" s="33"/>
      <c r="D25" s="184"/>
    </row>
    <row r="26" spans="1:4" ht="14.25" customHeight="1">
      <c r="A26" s="74" t="s">
        <v>766</v>
      </c>
      <c r="B26" s="33">
        <f>District!$B$5</f>
        <v>2014</v>
      </c>
      <c r="C26" s="33" t="s">
        <v>329</v>
      </c>
      <c r="D26" s="186">
        <f>'1.1,1.2'!H27</f>
        <v>1030</v>
      </c>
    </row>
    <row r="27" spans="1:4" ht="14.25" customHeight="1">
      <c r="A27" s="74" t="s">
        <v>330</v>
      </c>
      <c r="B27" s="33" t="s">
        <v>323</v>
      </c>
      <c r="C27" s="33" t="s">
        <v>331</v>
      </c>
      <c r="D27" s="184">
        <f>'1.3,1.4'!J19</f>
        <v>45</v>
      </c>
    </row>
    <row r="28" spans="1:4" ht="14.25" customHeight="1">
      <c r="A28" s="74" t="s">
        <v>745</v>
      </c>
      <c r="B28" s="33" t="s">
        <v>323</v>
      </c>
      <c r="C28" s="33" t="s">
        <v>323</v>
      </c>
      <c r="D28" s="184">
        <f>'1.3,1.4'!K19</f>
        <v>8</v>
      </c>
    </row>
    <row r="29" spans="1:4" ht="14.25" customHeight="1">
      <c r="A29" s="82" t="s">
        <v>332</v>
      </c>
      <c r="B29" s="33"/>
      <c r="C29" s="33"/>
      <c r="D29" s="184"/>
    </row>
    <row r="30" spans="1:4" ht="14.25" customHeight="1">
      <c r="A30" s="74" t="s">
        <v>333</v>
      </c>
      <c r="B30" s="33">
        <f>District!$B$4</f>
        <v>2011</v>
      </c>
      <c r="C30" s="33" t="s">
        <v>1013</v>
      </c>
      <c r="D30" s="185">
        <f>ROUND('2.7'!B36/'2.7'!R36*100,2)</f>
        <v>40.770000000000003</v>
      </c>
    </row>
    <row r="31" spans="1:4" ht="14.25" customHeight="1">
      <c r="A31" s="74" t="s">
        <v>334</v>
      </c>
      <c r="B31" s="33" t="s">
        <v>323</v>
      </c>
      <c r="C31" s="33" t="s">
        <v>323</v>
      </c>
      <c r="D31" s="185">
        <f>ROUND('2.7'!P36/'2.7'!R36*100,2)</f>
        <v>59.23</v>
      </c>
    </row>
    <row r="32" spans="1:4" ht="14.25" customHeight="1">
      <c r="A32" s="82" t="s">
        <v>337</v>
      </c>
      <c r="B32" s="33"/>
      <c r="C32" s="33"/>
      <c r="D32" s="184"/>
    </row>
    <row r="33" spans="1:4" ht="14.25" customHeight="1">
      <c r="A33" s="74" t="s">
        <v>338</v>
      </c>
      <c r="B33" s="33" t="str">
        <f>District!$B$3</f>
        <v>2013-14</v>
      </c>
      <c r="C33" s="83" t="s">
        <v>1658</v>
      </c>
      <c r="D33" s="185">
        <f>'5.1 ,5.1a'!N10</f>
        <v>336.35</v>
      </c>
    </row>
    <row r="34" spans="1:4" ht="27" customHeight="1">
      <c r="A34" s="187" t="s">
        <v>1158</v>
      </c>
      <c r="B34" s="33" t="s">
        <v>323</v>
      </c>
      <c r="C34" s="33" t="s">
        <v>1013</v>
      </c>
      <c r="D34" s="184">
        <f>ROUND('5.5,5.5a'!L11/'5.1 ,5.1a'!N10*100,2)</f>
        <v>77.739999999999995</v>
      </c>
    </row>
    <row r="35" spans="1:4" ht="14.25" customHeight="1">
      <c r="A35" s="74" t="s">
        <v>735</v>
      </c>
      <c r="B35" s="33" t="s">
        <v>323</v>
      </c>
      <c r="C35" s="33" t="s">
        <v>767</v>
      </c>
      <c r="D35" s="184">
        <f>'5.3a'!G7</f>
        <v>2768</v>
      </c>
    </row>
    <row r="36" spans="1:4" ht="14.25" customHeight="1">
      <c r="A36" s="82" t="s">
        <v>191</v>
      </c>
      <c r="B36" s="33"/>
      <c r="C36" s="33"/>
      <c r="D36" s="184"/>
    </row>
    <row r="37" spans="1:4" ht="14.25" customHeight="1">
      <c r="A37" s="187" t="s">
        <v>471</v>
      </c>
      <c r="B37" s="33">
        <f>District!$B$5</f>
        <v>2014</v>
      </c>
      <c r="C37" s="33" t="s">
        <v>308</v>
      </c>
      <c r="D37" s="184">
        <f>'3.1'!K12</f>
        <v>146</v>
      </c>
    </row>
    <row r="38" spans="1:4" ht="14.25" customHeight="1">
      <c r="A38" s="187" t="s">
        <v>768</v>
      </c>
      <c r="B38" s="33" t="str">
        <f>District!$B$3</f>
        <v>2013-14</v>
      </c>
      <c r="C38" s="33" t="s">
        <v>323</v>
      </c>
      <c r="D38" s="184">
        <f>'3.2'!B11</f>
        <v>564</v>
      </c>
    </row>
    <row r="39" spans="1:4" ht="14.25" customHeight="1">
      <c r="A39" s="74" t="s">
        <v>1159</v>
      </c>
      <c r="B39" s="33" t="s">
        <v>323</v>
      </c>
      <c r="C39" s="33" t="s">
        <v>323</v>
      </c>
      <c r="D39" s="184">
        <f>'3.2'!E11</f>
        <v>25</v>
      </c>
    </row>
    <row r="40" spans="1:4" ht="14.25" customHeight="1">
      <c r="A40" s="74" t="s">
        <v>339</v>
      </c>
      <c r="B40" s="33">
        <f>District!$B$5</f>
        <v>2014</v>
      </c>
      <c r="C40" s="33" t="s">
        <v>323</v>
      </c>
      <c r="D40" s="184">
        <f>'3.1'!L12</f>
        <v>4152</v>
      </c>
    </row>
    <row r="41" spans="1:4" ht="14.25" customHeight="1">
      <c r="A41" s="74" t="str">
        <f>"Beds per lakh of Population (Census " &amp; District!$B$4 &amp; ")"</f>
        <v>Beds per lakh of Population (Census 2011)</v>
      </c>
      <c r="B41" s="33" t="s">
        <v>323</v>
      </c>
      <c r="C41" s="33" t="s">
        <v>323</v>
      </c>
      <c r="D41" s="184">
        <f>ROUND(D40/D18*100000,0)</f>
        <v>115</v>
      </c>
    </row>
    <row r="42" spans="1:4" ht="14.25" customHeight="1">
      <c r="A42" s="82" t="s">
        <v>1712</v>
      </c>
      <c r="B42" s="33"/>
      <c r="C42" s="33"/>
      <c r="D42" s="184"/>
    </row>
    <row r="43" spans="1:4" ht="14.25" customHeight="1">
      <c r="A43" s="74" t="s">
        <v>274</v>
      </c>
      <c r="B43" s="33" t="str">
        <f>District!$B$3</f>
        <v>2013-14</v>
      </c>
      <c r="C43" s="33" t="s">
        <v>323</v>
      </c>
      <c r="D43" s="184">
        <f>'4.1a'!I8</f>
        <v>3550</v>
      </c>
    </row>
    <row r="44" spans="1:4" ht="14.25" customHeight="1">
      <c r="A44" s="74" t="s">
        <v>275</v>
      </c>
      <c r="B44" s="33" t="s">
        <v>323</v>
      </c>
      <c r="C44" s="33" t="s">
        <v>323</v>
      </c>
      <c r="D44" s="184">
        <f>'4.1a'!I13</f>
        <v>369</v>
      </c>
    </row>
    <row r="45" spans="1:4" ht="14.25" customHeight="1">
      <c r="A45" s="74" t="s">
        <v>276</v>
      </c>
      <c r="B45" s="33" t="s">
        <v>323</v>
      </c>
      <c r="C45" s="33" t="s">
        <v>323</v>
      </c>
      <c r="D45" s="184">
        <f>'4.1a'!I18</f>
        <v>197</v>
      </c>
    </row>
    <row r="46" spans="1:4" ht="14.25" customHeight="1">
      <c r="A46" s="74" t="s">
        <v>279</v>
      </c>
      <c r="B46" s="33" t="s">
        <v>323</v>
      </c>
      <c r="C46" s="33" t="s">
        <v>323</v>
      </c>
      <c r="D46" s="184">
        <f>'4.1a'!I23</f>
        <v>284</v>
      </c>
    </row>
    <row r="47" spans="1:4" ht="14.25" customHeight="1">
      <c r="A47" s="74" t="s">
        <v>341</v>
      </c>
      <c r="B47" s="33" t="s">
        <v>323</v>
      </c>
      <c r="C47" s="33" t="s">
        <v>323</v>
      </c>
      <c r="D47" s="184">
        <f>'4.1a'!I29</f>
        <v>21</v>
      </c>
    </row>
    <row r="48" spans="1:4" ht="14.25" customHeight="1">
      <c r="A48" s="74" t="s">
        <v>500</v>
      </c>
      <c r="B48" s="33" t="s">
        <v>323</v>
      </c>
      <c r="C48" s="33" t="s">
        <v>323</v>
      </c>
      <c r="D48" s="184" t="str">
        <f>IF(SUM('4.1a'!I30,'4.1b'!I34)=0,"-",SUM('4.1a'!I30,'4.1b'!I34))</f>
        <v>-</v>
      </c>
    </row>
    <row r="49" spans="1:5" ht="14.25" customHeight="1">
      <c r="A49" s="1133" t="s">
        <v>1713</v>
      </c>
      <c r="B49" s="33">
        <f>District!$B$4</f>
        <v>2011</v>
      </c>
      <c r="C49" s="33" t="s">
        <v>1013</v>
      </c>
      <c r="D49" s="185">
        <f>'4.5'!H35</f>
        <v>80.05</v>
      </c>
    </row>
    <row r="50" spans="1:5" ht="14.25" customHeight="1">
      <c r="A50" s="1133" t="s">
        <v>1714</v>
      </c>
      <c r="B50" s="33" t="s">
        <v>323</v>
      </c>
      <c r="C50" s="33" t="s">
        <v>323</v>
      </c>
      <c r="D50" s="185">
        <f>'4.5'!I35</f>
        <v>60.05</v>
      </c>
    </row>
    <row r="51" spans="1:5" ht="14.25" customHeight="1">
      <c r="A51" s="1150" t="s">
        <v>1715</v>
      </c>
      <c r="B51" s="41" t="s">
        <v>323</v>
      </c>
      <c r="C51" s="41" t="s">
        <v>323</v>
      </c>
      <c r="D51" s="188">
        <f>'4.5'!J35</f>
        <v>70.260000000000005</v>
      </c>
    </row>
    <row r="52" spans="1:5">
      <c r="A52" s="190"/>
      <c r="B52" s="24"/>
      <c r="C52" s="24"/>
      <c r="D52" s="811" t="s">
        <v>480</v>
      </c>
    </row>
    <row r="53" spans="1:5">
      <c r="A53" s="190"/>
      <c r="B53" s="24"/>
      <c r="C53" s="24"/>
      <c r="D53" s="811"/>
    </row>
    <row r="54" spans="1:5">
      <c r="A54" s="190"/>
      <c r="B54" s="24"/>
      <c r="C54" s="24"/>
      <c r="D54" s="811"/>
    </row>
    <row r="55" spans="1:5">
      <c r="A55" s="1183" t="s">
        <v>643</v>
      </c>
      <c r="B55" s="1183"/>
      <c r="C55" s="1183"/>
      <c r="D55" s="1183"/>
    </row>
    <row r="56" spans="1:5" s="890" customFormat="1" ht="13.5" customHeight="1">
      <c r="A56" s="1182" t="s">
        <v>897</v>
      </c>
      <c r="B56" s="1182"/>
      <c r="C56" s="1182"/>
      <c r="D56" s="1182"/>
    </row>
    <row r="57" spans="1:5">
      <c r="A57" s="190"/>
      <c r="B57" s="24"/>
      <c r="C57" s="24"/>
      <c r="D57" s="189"/>
    </row>
    <row r="58" spans="1:5">
      <c r="A58" s="212" t="s">
        <v>299</v>
      </c>
      <c r="B58" s="212" t="s">
        <v>304</v>
      </c>
      <c r="C58" s="212" t="s">
        <v>305</v>
      </c>
      <c r="D58" s="231" t="s">
        <v>306</v>
      </c>
    </row>
    <row r="59" spans="1:5">
      <c r="A59" s="181" t="s">
        <v>418</v>
      </c>
      <c r="B59" s="181" t="s">
        <v>419</v>
      </c>
      <c r="C59" s="181" t="s">
        <v>420</v>
      </c>
      <c r="D59" s="182" t="s">
        <v>421</v>
      </c>
    </row>
    <row r="60" spans="1:5" ht="15" customHeight="1">
      <c r="A60" s="191" t="s">
        <v>346</v>
      </c>
      <c r="B60" s="58"/>
      <c r="C60" s="58"/>
      <c r="D60" s="192"/>
    </row>
    <row r="61" spans="1:5" ht="15" customHeight="1">
      <c r="A61" s="74" t="s">
        <v>1160</v>
      </c>
      <c r="B61" s="33">
        <f>District!$B$5</f>
        <v>2014</v>
      </c>
      <c r="C61" s="33" t="s">
        <v>308</v>
      </c>
      <c r="D61" s="184" t="str">
        <f>'9.1'!G9</f>
        <v>260 (P)</v>
      </c>
    </row>
    <row r="62" spans="1:5">
      <c r="A62" s="301" t="s">
        <v>186</v>
      </c>
      <c r="B62" s="33" t="str">
        <f>District!$B$3</f>
        <v>2013-14</v>
      </c>
      <c r="C62" s="33" t="s">
        <v>323</v>
      </c>
      <c r="D62" s="184">
        <f>'8.1,8.2'!D11</f>
        <v>2638</v>
      </c>
      <c r="E62" s="302"/>
    </row>
    <row r="63" spans="1:5" ht="15" customHeight="1">
      <c r="A63" s="82" t="s">
        <v>373</v>
      </c>
      <c r="B63" s="33"/>
      <c r="C63" s="33"/>
      <c r="D63" s="184"/>
    </row>
    <row r="64" spans="1:5" ht="15" customHeight="1">
      <c r="A64" s="74" t="s">
        <v>1161</v>
      </c>
      <c r="B64" s="1134" t="s">
        <v>1709</v>
      </c>
      <c r="C64" s="33" t="s">
        <v>323</v>
      </c>
      <c r="D64" s="39">
        <f>'9.1'!G11</f>
        <v>14686</v>
      </c>
    </row>
    <row r="65" spans="1:5" ht="15" customHeight="1">
      <c r="A65" s="74" t="s">
        <v>1305</v>
      </c>
      <c r="B65" s="33">
        <f>District!$B$5</f>
        <v>2014</v>
      </c>
      <c r="C65" s="33" t="s">
        <v>323</v>
      </c>
      <c r="D65" s="184" t="str">
        <f>'9.1'!G10</f>
        <v>13211 (P)</v>
      </c>
    </row>
    <row r="66" spans="1:5">
      <c r="A66" s="301" t="s">
        <v>186</v>
      </c>
      <c r="B66" s="33" t="str">
        <f>District!$B$3</f>
        <v>2013-14</v>
      </c>
      <c r="C66" s="33" t="s">
        <v>323</v>
      </c>
      <c r="D66" s="184">
        <f>'8.1,8.2'!F11</f>
        <v>21121</v>
      </c>
      <c r="E66" s="302"/>
    </row>
    <row r="67" spans="1:5" ht="15" customHeight="1">
      <c r="A67" s="82" t="s">
        <v>699</v>
      </c>
      <c r="B67" s="33"/>
      <c r="C67" s="33"/>
      <c r="D67" s="184"/>
    </row>
    <row r="68" spans="1:5" ht="15" customHeight="1">
      <c r="A68" s="74" t="s">
        <v>769</v>
      </c>
      <c r="B68" s="33">
        <f>District!$B$5</f>
        <v>2014</v>
      </c>
      <c r="C68" s="33" t="s">
        <v>323</v>
      </c>
      <c r="D68" s="184">
        <f>'10.1,10.2'!F13</f>
        <v>346100</v>
      </c>
    </row>
    <row r="69" spans="1:5" ht="15" customHeight="1">
      <c r="A69" s="82" t="s">
        <v>375</v>
      </c>
      <c r="B69" s="33"/>
      <c r="C69" s="33"/>
      <c r="D69" s="184"/>
    </row>
    <row r="70" spans="1:5" ht="15" customHeight="1">
      <c r="A70" s="74" t="s">
        <v>151</v>
      </c>
      <c r="B70" s="33" t="str">
        <f>District!$B$3</f>
        <v>2013-14</v>
      </c>
      <c r="C70" s="33" t="s">
        <v>323</v>
      </c>
      <c r="D70" s="184">
        <f>'8.1,8.2'!F45</f>
        <v>3594</v>
      </c>
    </row>
    <row r="71" spans="1:5" ht="15" customHeight="1">
      <c r="A71" s="74" t="s">
        <v>264</v>
      </c>
      <c r="B71" s="33" t="s">
        <v>323</v>
      </c>
      <c r="C71" s="83" t="s">
        <v>1520</v>
      </c>
      <c r="D71" s="186">
        <f>'8.2a'!J10</f>
        <v>484589.57999999996</v>
      </c>
    </row>
    <row r="72" spans="1:5" ht="15" customHeight="1">
      <c r="A72" s="82" t="s">
        <v>376</v>
      </c>
      <c r="B72" s="33"/>
      <c r="C72" s="33"/>
      <c r="D72" s="184"/>
    </row>
    <row r="73" spans="1:5" ht="15" customHeight="1">
      <c r="A73" s="74" t="s">
        <v>377</v>
      </c>
      <c r="B73" s="33" t="s">
        <v>323</v>
      </c>
      <c r="C73" s="33" t="s">
        <v>308</v>
      </c>
      <c r="D73" s="184">
        <f>'7.1'!C47</f>
        <v>1236</v>
      </c>
    </row>
    <row r="74" spans="1:5" ht="15" customHeight="1">
      <c r="A74" s="74" t="s">
        <v>378</v>
      </c>
      <c r="B74" s="33" t="s">
        <v>323</v>
      </c>
      <c r="C74" s="33" t="s">
        <v>323</v>
      </c>
      <c r="D74" s="184">
        <f>'7.1'!D47</f>
        <v>541864</v>
      </c>
    </row>
    <row r="75" spans="1:5" ht="15" customHeight="1">
      <c r="A75" s="74" t="s">
        <v>379</v>
      </c>
      <c r="B75" s="33" t="s">
        <v>323</v>
      </c>
      <c r="C75" s="83" t="s">
        <v>1242</v>
      </c>
      <c r="D75" s="184">
        <f>'7.1'!E47</f>
        <v>19479093</v>
      </c>
    </row>
    <row r="76" spans="1:5" ht="15" customHeight="1">
      <c r="A76" s="82" t="s">
        <v>1130</v>
      </c>
      <c r="B76" s="33"/>
      <c r="C76" s="33"/>
      <c r="D76" s="184"/>
    </row>
    <row r="77" spans="1:5" ht="15" customHeight="1">
      <c r="A77" s="74" t="s">
        <v>395</v>
      </c>
      <c r="B77" s="193" t="str">
        <f>"June, " &amp; '7.2,7.3'!A10</f>
        <v>June, 2014</v>
      </c>
      <c r="C77" s="33" t="s">
        <v>308</v>
      </c>
      <c r="D77" s="184">
        <f>'7.2,7.3'!N10</f>
        <v>225</v>
      </c>
    </row>
    <row r="78" spans="1:5" ht="15" customHeight="1">
      <c r="A78" s="82" t="s">
        <v>396</v>
      </c>
      <c r="B78" s="33"/>
      <c r="C78" s="33"/>
      <c r="D78" s="184"/>
    </row>
    <row r="79" spans="1:5" ht="15" customHeight="1">
      <c r="A79" s="74" t="s">
        <v>397</v>
      </c>
      <c r="B79" s="33" t="str">
        <f>District!$B$3</f>
        <v>2013-14</v>
      </c>
      <c r="C79" s="33" t="s">
        <v>308</v>
      </c>
      <c r="D79" s="184">
        <f>'12.5,12.6,12.7'!B21</f>
        <v>486</v>
      </c>
    </row>
    <row r="80" spans="1:5" ht="15" customHeight="1">
      <c r="A80" s="74" t="s">
        <v>404</v>
      </c>
      <c r="B80" s="33" t="s">
        <v>323</v>
      </c>
      <c r="C80" s="33" t="s">
        <v>323</v>
      </c>
      <c r="D80" s="184" t="str">
        <f>'12.5,12.6,12.7'!F21</f>
        <v>-</v>
      </c>
    </row>
    <row r="81" spans="1:4" ht="15" customHeight="1">
      <c r="A81" s="1133" t="s">
        <v>1707</v>
      </c>
      <c r="B81" s="33" t="s">
        <v>323</v>
      </c>
      <c r="C81" s="33" t="s">
        <v>40</v>
      </c>
      <c r="D81" s="185">
        <f>SUM('12.1,12.2'!B11,'12.1,12.2'!E11,'12.1,12.2'!H11,'12.1,12.2'!K11,'12.3,12.4'!D10:F10)</f>
        <v>3504.01</v>
      </c>
    </row>
    <row r="82" spans="1:4" ht="15" customHeight="1">
      <c r="A82" s="1133" t="s">
        <v>1708</v>
      </c>
      <c r="B82" s="33" t="s">
        <v>323</v>
      </c>
      <c r="C82" s="33" t="s">
        <v>323</v>
      </c>
      <c r="D82" s="185">
        <f>SUM('12.1,12.2'!C11,'12.1,12.2'!F11,'12.1,12.2'!I11,'12.1,12.2'!L11,'12.3,12.4'!G10:I10)</f>
        <v>8667.93</v>
      </c>
    </row>
    <row r="83" spans="1:4" ht="15" customHeight="1">
      <c r="A83" s="74" t="s">
        <v>174</v>
      </c>
      <c r="B83" s="33" t="s">
        <v>323</v>
      </c>
      <c r="C83" s="33" t="s">
        <v>308</v>
      </c>
      <c r="D83" s="184">
        <f>'12.3,12.4'!L27</f>
        <v>168486</v>
      </c>
    </row>
    <row r="84" spans="1:4" ht="15" customHeight="1">
      <c r="A84" s="82" t="s">
        <v>411</v>
      </c>
      <c r="B84" s="33"/>
      <c r="C84" s="33"/>
      <c r="D84" s="184"/>
    </row>
    <row r="85" spans="1:4" ht="15" customHeight="1">
      <c r="A85" s="74" t="s">
        <v>770</v>
      </c>
      <c r="B85" s="33" t="s">
        <v>323</v>
      </c>
      <c r="C85" s="83" t="s">
        <v>1242</v>
      </c>
      <c r="D85" s="184">
        <f>'15.2'!B10</f>
        <v>1386111</v>
      </c>
    </row>
    <row r="86" spans="1:4" ht="15" customHeight="1">
      <c r="A86" s="75" t="s">
        <v>501</v>
      </c>
      <c r="B86" s="41" t="s">
        <v>323</v>
      </c>
      <c r="C86" s="41" t="s">
        <v>323</v>
      </c>
      <c r="D86" s="194">
        <f>'15.1'!L10</f>
        <v>2032291</v>
      </c>
    </row>
    <row r="87" spans="1:4" ht="15" customHeight="1">
      <c r="A87" s="99"/>
      <c r="B87" s="24"/>
      <c r="C87" s="24"/>
      <c r="D87" s="189"/>
    </row>
    <row r="88" spans="1:4">
      <c r="A88" s="891"/>
      <c r="B88" s="302"/>
      <c r="C88" s="302"/>
      <c r="D88" s="302"/>
    </row>
    <row r="89" spans="1:4">
      <c r="A89" s="302"/>
      <c r="B89" s="302"/>
      <c r="C89" s="302"/>
      <c r="D89" s="302"/>
    </row>
    <row r="90" spans="1:4">
      <c r="A90" s="1181" t="s">
        <v>1241</v>
      </c>
      <c r="B90" s="1181"/>
      <c r="C90" s="892"/>
      <c r="D90" s="892"/>
    </row>
    <row r="91" spans="1:4">
      <c r="A91" s="893"/>
      <c r="C91" s="892"/>
      <c r="D91" s="892"/>
    </row>
    <row r="92" spans="1:4">
      <c r="A92" s="894" t="s">
        <v>1132</v>
      </c>
      <c r="B92" s="55" t="s">
        <v>14</v>
      </c>
    </row>
    <row r="93" spans="1:4">
      <c r="A93" s="894" t="s">
        <v>1133</v>
      </c>
      <c r="B93" s="55" t="s">
        <v>15</v>
      </c>
    </row>
    <row r="94" spans="1:4">
      <c r="A94" s="84" t="s">
        <v>1134</v>
      </c>
      <c r="B94" s="55" t="s">
        <v>16</v>
      </c>
    </row>
    <row r="95" spans="1:4">
      <c r="A95" s="84" t="s">
        <v>1135</v>
      </c>
      <c r="B95" s="55" t="s">
        <v>17</v>
      </c>
    </row>
    <row r="96" spans="1:4">
      <c r="A96" s="84" t="s">
        <v>1136</v>
      </c>
      <c r="B96" s="55" t="s">
        <v>18</v>
      </c>
    </row>
    <row r="97" spans="1:4">
      <c r="A97" s="84" t="s">
        <v>1137</v>
      </c>
      <c r="B97" s="55" t="s">
        <v>1187</v>
      </c>
    </row>
    <row r="98" spans="1:4">
      <c r="A98" s="84" t="s">
        <v>1138</v>
      </c>
      <c r="B98" s="55" t="s">
        <v>19</v>
      </c>
    </row>
    <row r="99" spans="1:4">
      <c r="A99" s="84" t="s">
        <v>1139</v>
      </c>
      <c r="B99" s="55" t="s">
        <v>20</v>
      </c>
    </row>
    <row r="100" spans="1:4">
      <c r="A100" s="84" t="s">
        <v>1140</v>
      </c>
      <c r="B100" s="55" t="s">
        <v>313</v>
      </c>
    </row>
    <row r="101" spans="1:4">
      <c r="A101" s="84" t="s">
        <v>1141</v>
      </c>
      <c r="B101" s="55" t="s">
        <v>317</v>
      </c>
    </row>
    <row r="102" spans="1:4">
      <c r="A102" s="84" t="s">
        <v>1142</v>
      </c>
      <c r="B102" s="55" t="s">
        <v>472</v>
      </c>
    </row>
    <row r="103" spans="1:4">
      <c r="A103" s="84" t="s">
        <v>1143</v>
      </c>
      <c r="B103" s="55" t="s">
        <v>457</v>
      </c>
    </row>
    <row r="104" spans="1:4">
      <c r="A104" s="84" t="s">
        <v>1144</v>
      </c>
      <c r="B104" s="55" t="s">
        <v>456</v>
      </c>
    </row>
    <row r="110" spans="1:4">
      <c r="B110" s="302"/>
      <c r="C110" s="302"/>
      <c r="D110" s="302"/>
    </row>
    <row r="114" spans="1:4">
      <c r="A114" s="1179" t="s">
        <v>645</v>
      </c>
      <c r="B114" s="1179"/>
      <c r="C114" s="1179"/>
      <c r="D114" s="1179"/>
    </row>
  </sheetData>
  <mergeCells count="5">
    <mergeCell ref="A114:D114"/>
    <mergeCell ref="A1:D1"/>
    <mergeCell ref="A90:B90"/>
    <mergeCell ref="A56:D56"/>
    <mergeCell ref="A55:D55"/>
  </mergeCells>
  <phoneticPr fontId="0" type="noConversion"/>
  <conditionalFormatting sqref="A49:A51">
    <cfRule type="cellIs" dxfId="18" priority="1" stopIfTrue="1" operator="equal">
      <formula>".."</formula>
    </cfRule>
  </conditionalFormatting>
  <printOptions horizontalCentered="1"/>
  <pageMargins left="0.1" right="0.1" top="0.54" bottom="0.1" header="0.51" footer="0.1"/>
  <pageSetup paperSize="9" orientation="portrait" r:id="rId1"/>
  <headerFooter alignWithMargins="0"/>
  <rowBreaks count="1" manualBreakCount="1">
    <brk id="55" max="16383" man="1"/>
  </rowBreaks>
  <legacyDrawing r:id="rId2"/>
  <oleObjects>
    <oleObject progId="Word.Document.8" shapeId="17409" r:id="rId3"/>
  </oleObjects>
</worksheet>
</file>

<file path=xl/worksheets/sheet50.xml><?xml version="1.0" encoding="utf-8"?>
<worksheet xmlns="http://schemas.openxmlformats.org/spreadsheetml/2006/main" xmlns:r="http://schemas.openxmlformats.org/officeDocument/2006/relationships">
  <sheetPr codeName="Sheet46"/>
  <dimension ref="A1:V41"/>
  <sheetViews>
    <sheetView topLeftCell="B1" workbookViewId="0">
      <selection activeCell="P12" sqref="P12"/>
    </sheetView>
  </sheetViews>
  <sheetFormatPr defaultRowHeight="12.75"/>
  <cols>
    <col min="1" max="1" width="9.140625" style="172" hidden="1" customWidth="1"/>
    <col min="2" max="2" width="15.85546875" style="172" customWidth="1"/>
    <col min="3" max="10" width="8.85546875" style="172" customWidth="1"/>
    <col min="11" max="16384" width="9.140625" style="172"/>
  </cols>
  <sheetData>
    <row r="1" spans="2:19" ht="17.25" customHeight="1">
      <c r="B1" s="1390" t="s">
        <v>826</v>
      </c>
      <c r="C1" s="1390"/>
      <c r="D1" s="1390"/>
      <c r="E1" s="1390"/>
      <c r="F1" s="1390"/>
      <c r="G1" s="1390"/>
      <c r="H1" s="1390"/>
      <c r="I1" s="1390"/>
      <c r="J1" s="1390"/>
    </row>
    <row r="2" spans="2:19" ht="20.25" customHeight="1">
      <c r="B2" s="1235" t="str">
        <f>CONCATENATE("Fertiliser Consumed in the district of ",District!$A$1)</f>
        <v>Fertiliser Consumed in the district of Bankura</v>
      </c>
      <c r="C2" s="1235"/>
      <c r="D2" s="1235"/>
      <c r="E2" s="1235"/>
      <c r="F2" s="1235"/>
      <c r="G2" s="1235"/>
      <c r="H2" s="1235"/>
      <c r="I2" s="1235"/>
      <c r="J2" s="1235"/>
    </row>
    <row r="3" spans="2:19" ht="12.75" customHeight="1">
      <c r="C3" s="638"/>
      <c r="D3" s="638"/>
      <c r="E3" s="638"/>
      <c r="F3" s="638"/>
      <c r="G3" s="638"/>
      <c r="H3" s="638"/>
      <c r="I3" s="1406" t="s">
        <v>1033</v>
      </c>
      <c r="J3" s="1406"/>
    </row>
    <row r="4" spans="2:19" ht="19.5" customHeight="1">
      <c r="B4" s="230" t="s">
        <v>304</v>
      </c>
      <c r="C4" s="1193" t="s">
        <v>756</v>
      </c>
      <c r="D4" s="1192"/>
      <c r="E4" s="1193" t="s">
        <v>757</v>
      </c>
      <c r="F4" s="1192"/>
      <c r="G4" s="1193" t="s">
        <v>758</v>
      </c>
      <c r="H4" s="1192"/>
      <c r="I4" s="1191" t="s">
        <v>439</v>
      </c>
      <c r="J4" s="1192"/>
    </row>
    <row r="5" spans="2:19" ht="19.5" customHeight="1">
      <c r="B5" s="462" t="s">
        <v>418</v>
      </c>
      <c r="C5" s="1407" t="s">
        <v>419</v>
      </c>
      <c r="D5" s="1408"/>
      <c r="E5" s="1407" t="s">
        <v>420</v>
      </c>
      <c r="F5" s="1408"/>
      <c r="G5" s="1407" t="s">
        <v>421</v>
      </c>
      <c r="H5" s="1408"/>
      <c r="I5" s="1421" t="s">
        <v>422</v>
      </c>
      <c r="J5" s="1408"/>
    </row>
    <row r="6" spans="2:19" ht="24" customHeight="1">
      <c r="B6" s="117" t="str">
        <f>District!B16</f>
        <v>2009-10</v>
      </c>
      <c r="C6" s="1375">
        <v>33.200000000000003</v>
      </c>
      <c r="D6" s="1376"/>
      <c r="E6" s="1375">
        <v>27.3</v>
      </c>
      <c r="F6" s="1376"/>
      <c r="G6" s="1375">
        <v>22.5</v>
      </c>
      <c r="H6" s="1376"/>
      <c r="I6" s="1186">
        <f>SUM(C6:G6)</f>
        <v>83</v>
      </c>
      <c r="J6" s="1184"/>
      <c r="N6"/>
      <c r="O6"/>
      <c r="P6"/>
      <c r="Q6"/>
      <c r="R6"/>
      <c r="S6"/>
    </row>
    <row r="7" spans="2:19" ht="24" customHeight="1">
      <c r="B7" s="29" t="str">
        <f>District!B17</f>
        <v>2010-11</v>
      </c>
      <c r="C7" s="1248">
        <v>29.2</v>
      </c>
      <c r="D7" s="1409"/>
      <c r="E7" s="1410">
        <v>26.6</v>
      </c>
      <c r="F7" s="1411"/>
      <c r="G7" s="1248">
        <v>17.2</v>
      </c>
      <c r="H7" s="1409"/>
      <c r="I7" s="1419">
        <f>SUM(C7:G7)</f>
        <v>73</v>
      </c>
      <c r="J7" s="1420"/>
      <c r="N7"/>
      <c r="O7"/>
      <c r="P7"/>
      <c r="Q7"/>
      <c r="R7"/>
      <c r="S7"/>
    </row>
    <row r="8" spans="2:19" ht="24" customHeight="1">
      <c r="B8" s="29" t="str">
        <f>District!B18</f>
        <v>2011-12</v>
      </c>
      <c r="C8" s="1248">
        <v>50.4</v>
      </c>
      <c r="D8" s="1409"/>
      <c r="E8" s="1410">
        <v>21.8</v>
      </c>
      <c r="F8" s="1411"/>
      <c r="G8" s="1248">
        <v>12.1</v>
      </c>
      <c r="H8" s="1409"/>
      <c r="I8" s="1419">
        <f>SUM(C8:G8)</f>
        <v>84.3</v>
      </c>
      <c r="J8" s="1420"/>
      <c r="N8"/>
      <c r="O8"/>
      <c r="P8"/>
      <c r="Q8"/>
      <c r="R8"/>
      <c r="S8"/>
    </row>
    <row r="9" spans="2:19" ht="24" customHeight="1">
      <c r="B9" s="29" t="str">
        <f>District!B19</f>
        <v>2012-13</v>
      </c>
      <c r="C9" s="1248">
        <v>38.5</v>
      </c>
      <c r="D9" s="1409"/>
      <c r="E9" s="1410">
        <v>29.3</v>
      </c>
      <c r="F9" s="1411"/>
      <c r="G9" s="1248">
        <v>13.1</v>
      </c>
      <c r="H9" s="1409"/>
      <c r="I9" s="1419">
        <f>SUM(C9:G9)</f>
        <v>80.899999999999991</v>
      </c>
      <c r="J9" s="1420"/>
      <c r="N9"/>
      <c r="O9"/>
      <c r="P9"/>
      <c r="Q9"/>
      <c r="R9"/>
      <c r="S9"/>
    </row>
    <row r="10" spans="2:19" ht="24" customHeight="1">
      <c r="B10" s="56" t="str">
        <f>District!B20</f>
        <v>2013-14</v>
      </c>
      <c r="C10" s="1268">
        <v>30.7</v>
      </c>
      <c r="D10" s="1416"/>
      <c r="E10" s="1425">
        <v>13.6</v>
      </c>
      <c r="F10" s="1426"/>
      <c r="G10" s="1268">
        <v>13.9</v>
      </c>
      <c r="H10" s="1416"/>
      <c r="I10" s="1423">
        <f>SUM(C10:G10)</f>
        <v>58.199999999999996</v>
      </c>
      <c r="J10" s="1424"/>
    </row>
    <row r="11" spans="2:19" ht="12.75" customHeight="1">
      <c r="B11" s="61"/>
      <c r="E11" s="519"/>
      <c r="F11" s="18"/>
      <c r="J11" s="525" t="s">
        <v>209</v>
      </c>
    </row>
    <row r="12" spans="2:19" ht="18.75" customHeight="1">
      <c r="B12" s="61"/>
      <c r="E12" s="519"/>
      <c r="F12" s="18"/>
      <c r="G12" s="519"/>
    </row>
    <row r="13" spans="2:19" ht="16.5" customHeight="1">
      <c r="B13" s="1223" t="s">
        <v>827</v>
      </c>
      <c r="C13" s="1223"/>
      <c r="D13" s="1223"/>
      <c r="E13" s="1223"/>
      <c r="F13" s="1223"/>
      <c r="G13" s="1223"/>
      <c r="H13" s="1223"/>
      <c r="I13" s="1223"/>
      <c r="J13" s="1223"/>
    </row>
    <row r="14" spans="2:19" s="206" customFormat="1" ht="33.75" customHeight="1">
      <c r="B14" s="1427" t="str">
        <f>CONCATENATE("Warehousing and Cold Storage Facilities available to Cultivators 
in the district of ",District!A1)</f>
        <v>Warehousing and Cold Storage Facilities available to Cultivators 
in the district of Bankura</v>
      </c>
      <c r="C14" s="1427"/>
      <c r="D14" s="1427"/>
      <c r="E14" s="1427"/>
      <c r="F14" s="1427"/>
      <c r="G14" s="1427"/>
      <c r="H14" s="1427"/>
      <c r="I14" s="1427"/>
      <c r="J14" s="1427"/>
    </row>
    <row r="15" spans="2:19" ht="19.5" customHeight="1">
      <c r="B15" s="1196" t="s">
        <v>304</v>
      </c>
      <c r="C15" s="1191" t="s">
        <v>400</v>
      </c>
      <c r="D15" s="1191"/>
      <c r="E15" s="1192"/>
      <c r="F15" s="1191" t="s">
        <v>1398</v>
      </c>
      <c r="G15" s="1191"/>
      <c r="H15" s="1192"/>
      <c r="I15" s="1258" t="s">
        <v>210</v>
      </c>
      <c r="J15" s="1260"/>
    </row>
    <row r="16" spans="2:19" ht="19.5" customHeight="1">
      <c r="B16" s="1208"/>
      <c r="C16" s="220" t="s">
        <v>454</v>
      </c>
      <c r="D16" s="1186" t="s">
        <v>1115</v>
      </c>
      <c r="E16" s="1184"/>
      <c r="F16" s="117" t="s">
        <v>454</v>
      </c>
      <c r="G16" s="1188" t="s">
        <v>1115</v>
      </c>
      <c r="H16" s="1200"/>
      <c r="I16" s="1261"/>
      <c r="J16" s="1263"/>
    </row>
    <row r="17" spans="2:22" ht="19.5" customHeight="1">
      <c r="B17" s="213" t="s">
        <v>418</v>
      </c>
      <c r="C17" s="214" t="s">
        <v>419</v>
      </c>
      <c r="D17" s="1201" t="s">
        <v>420</v>
      </c>
      <c r="E17" s="1257"/>
      <c r="F17" s="213" t="s">
        <v>421</v>
      </c>
      <c r="G17" s="1201" t="s">
        <v>422</v>
      </c>
      <c r="H17" s="1257"/>
      <c r="I17" s="1412" t="s">
        <v>423</v>
      </c>
      <c r="J17" s="1413"/>
    </row>
    <row r="18" spans="2:22" ht="24.75" customHeight="1">
      <c r="B18" s="117" t="str">
        <f>District!B16</f>
        <v>2009-10</v>
      </c>
      <c r="C18" s="223">
        <v>16</v>
      </c>
      <c r="D18" s="1375">
        <v>17040</v>
      </c>
      <c r="E18" s="1376"/>
      <c r="F18" s="223">
        <v>42</v>
      </c>
      <c r="G18" s="1414">
        <v>671915.56</v>
      </c>
      <c r="H18" s="1415"/>
      <c r="I18" s="1375">
        <v>140000</v>
      </c>
      <c r="J18" s="1376"/>
    </row>
    <row r="19" spans="2:22" ht="24.75" customHeight="1">
      <c r="B19" s="29" t="str">
        <f>District!B17</f>
        <v>2010-11</v>
      </c>
      <c r="C19" s="183">
        <v>31</v>
      </c>
      <c r="D19" s="1248">
        <v>25790</v>
      </c>
      <c r="E19" s="1409"/>
      <c r="F19" s="183" t="s">
        <v>340</v>
      </c>
      <c r="G19" s="1417">
        <v>714082.13600000006</v>
      </c>
      <c r="H19" s="1418"/>
      <c r="I19" s="1248">
        <v>150000</v>
      </c>
      <c r="J19" s="1409"/>
      <c r="O19"/>
      <c r="P19"/>
      <c r="Q19"/>
      <c r="R19"/>
      <c r="S19"/>
      <c r="T19"/>
      <c r="U19"/>
      <c r="V19"/>
    </row>
    <row r="20" spans="2:22" ht="24.75" customHeight="1">
      <c r="B20" s="29" t="str">
        <f>District!B18</f>
        <v>2011-12</v>
      </c>
      <c r="C20" s="183">
        <v>31</v>
      </c>
      <c r="D20" s="1248">
        <v>25790</v>
      </c>
      <c r="E20" s="1409"/>
      <c r="F20" s="183">
        <v>44</v>
      </c>
      <c r="G20" s="1417">
        <v>740682.1</v>
      </c>
      <c r="H20" s="1418"/>
      <c r="I20" s="1248">
        <v>200000</v>
      </c>
      <c r="J20" s="1409"/>
      <c r="O20"/>
      <c r="P20"/>
      <c r="Q20"/>
      <c r="R20"/>
      <c r="S20"/>
      <c r="T20"/>
      <c r="U20"/>
      <c r="V20"/>
    </row>
    <row r="21" spans="2:22" ht="24.75" customHeight="1">
      <c r="B21" s="29" t="str">
        <f>District!B19</f>
        <v>2012-13</v>
      </c>
      <c r="C21" s="183">
        <v>36</v>
      </c>
      <c r="D21" s="1248">
        <v>26890</v>
      </c>
      <c r="E21" s="1409"/>
      <c r="F21" s="183">
        <v>47</v>
      </c>
      <c r="G21" s="1417">
        <v>794221.63</v>
      </c>
      <c r="H21" s="1418"/>
      <c r="I21" s="1248">
        <v>210000</v>
      </c>
      <c r="J21" s="1409"/>
      <c r="O21"/>
      <c r="P21"/>
      <c r="Q21"/>
      <c r="R21"/>
      <c r="S21"/>
      <c r="T21"/>
      <c r="U21"/>
      <c r="V21"/>
    </row>
    <row r="22" spans="2:22" ht="24.75" customHeight="1">
      <c r="B22" s="56" t="str">
        <f>District!B20</f>
        <v>2013-14</v>
      </c>
      <c r="C22" s="248">
        <v>36</v>
      </c>
      <c r="D22" s="1269">
        <v>26890</v>
      </c>
      <c r="E22" s="1269"/>
      <c r="F22" s="248">
        <v>48</v>
      </c>
      <c r="G22" s="1422">
        <v>797040</v>
      </c>
      <c r="H22" s="1422"/>
      <c r="I22" s="1268">
        <v>215000</v>
      </c>
      <c r="J22" s="1416"/>
      <c r="O22"/>
      <c r="P22"/>
      <c r="Q22"/>
      <c r="R22"/>
      <c r="S22"/>
      <c r="T22"/>
      <c r="U22"/>
      <c r="V22"/>
    </row>
    <row r="23" spans="2:22" ht="12.75" customHeight="1">
      <c r="B23" s="1429" t="s">
        <v>1676</v>
      </c>
      <c r="C23" s="1429"/>
      <c r="D23" s="1428"/>
      <c r="E23" s="1428"/>
      <c r="G23" s="654"/>
      <c r="H23" s="654"/>
      <c r="I23" s="654"/>
      <c r="J23" s="744" t="s">
        <v>1319</v>
      </c>
    </row>
    <row r="24" spans="2:22" ht="17.25" customHeight="1">
      <c r="B24" s="521"/>
      <c r="C24" s="521"/>
      <c r="D24" s="522"/>
      <c r="E24" s="523"/>
      <c r="F24" s="523"/>
      <c r="G24" s="523"/>
      <c r="H24" s="523"/>
      <c r="I24" s="523"/>
      <c r="J24" s="523"/>
    </row>
    <row r="25" spans="2:22" ht="13.5" customHeight="1">
      <c r="B25" s="1223" t="s">
        <v>828</v>
      </c>
      <c r="C25" s="1223"/>
      <c r="D25" s="1223"/>
      <c r="E25" s="1223"/>
      <c r="F25" s="1223"/>
      <c r="G25" s="1223"/>
      <c r="H25" s="1223"/>
      <c r="I25" s="1223"/>
      <c r="J25" s="1223"/>
    </row>
    <row r="26" spans="2:22" s="206" customFormat="1" ht="33" customHeight="1">
      <c r="B26" s="1362" t="str">
        <f>CONCATENATE("Estimated Production of Milk (Cow, Buffalo &amp; Goat) and Egg (Hen &amp; Duck) 
in the district of ",District!A1, " and West Bengal")</f>
        <v>Estimated Production of Milk (Cow, Buffalo &amp; Goat) and Egg (Hen &amp; Duck) 
in the district of Bankura and West Bengal</v>
      </c>
      <c r="C26" s="1362"/>
      <c r="D26" s="1362"/>
      <c r="E26" s="1362"/>
      <c r="F26" s="1362"/>
      <c r="G26" s="1362"/>
      <c r="H26" s="1362"/>
      <c r="I26" s="1362"/>
      <c r="J26" s="1362"/>
    </row>
    <row r="27" spans="2:22" ht="19.5" customHeight="1">
      <c r="B27" s="1186" t="s">
        <v>304</v>
      </c>
      <c r="C27" s="1186" t="s">
        <v>1399</v>
      </c>
      <c r="D27" s="1187"/>
      <c r="E27" s="1187"/>
      <c r="F27" s="1184"/>
      <c r="G27" s="1186" t="s">
        <v>1400</v>
      </c>
      <c r="H27" s="1187"/>
      <c r="I27" s="1187"/>
      <c r="J27" s="1184"/>
    </row>
    <row r="28" spans="2:22" ht="19.5" customHeight="1">
      <c r="B28" s="1188"/>
      <c r="C28" s="1186" t="s">
        <v>1036</v>
      </c>
      <c r="D28" s="1184"/>
      <c r="E28" s="1193" t="s">
        <v>1037</v>
      </c>
      <c r="F28" s="1192"/>
      <c r="G28" s="1186" t="s">
        <v>1036</v>
      </c>
      <c r="H28" s="1184"/>
      <c r="I28" s="1187" t="s">
        <v>1037</v>
      </c>
      <c r="J28" s="1184"/>
    </row>
    <row r="29" spans="2:22" ht="19.5" customHeight="1">
      <c r="B29" s="221" t="s">
        <v>418</v>
      </c>
      <c r="C29" s="1201" t="s">
        <v>419</v>
      </c>
      <c r="D29" s="1257"/>
      <c r="E29" s="1202" t="s">
        <v>420</v>
      </c>
      <c r="F29" s="1257"/>
      <c r="G29" s="1201" t="s">
        <v>421</v>
      </c>
      <c r="H29" s="1257"/>
      <c r="I29" s="1202" t="s">
        <v>422</v>
      </c>
      <c r="J29" s="1257"/>
    </row>
    <row r="30" spans="2:22" ht="24" customHeight="1">
      <c r="B30" s="117" t="str">
        <f>District!B16</f>
        <v>2009-10</v>
      </c>
      <c r="C30" s="1375">
        <v>201</v>
      </c>
      <c r="D30" s="1376"/>
      <c r="E30" s="1186">
        <v>4300</v>
      </c>
      <c r="F30" s="1184"/>
      <c r="G30" s="1375">
        <v>170219</v>
      </c>
      <c r="H30" s="1376"/>
      <c r="I30" s="1186">
        <v>3697839</v>
      </c>
      <c r="J30" s="1184"/>
    </row>
    <row r="31" spans="2:22" ht="24" customHeight="1">
      <c r="B31" s="29" t="str">
        <f>District!B17</f>
        <v>2010-11</v>
      </c>
      <c r="C31" s="1248">
        <v>206</v>
      </c>
      <c r="D31" s="1409"/>
      <c r="E31" s="1188">
        <v>4472</v>
      </c>
      <c r="F31" s="1200"/>
      <c r="G31" s="1248">
        <v>182763</v>
      </c>
      <c r="H31" s="1409"/>
      <c r="I31" s="1188">
        <v>4000869</v>
      </c>
      <c r="J31" s="1200"/>
      <c r="N31"/>
      <c r="O31"/>
      <c r="P31"/>
      <c r="Q31"/>
      <c r="R31"/>
      <c r="S31"/>
      <c r="T31"/>
      <c r="U31"/>
    </row>
    <row r="32" spans="2:22" ht="24" customHeight="1">
      <c r="B32" s="29" t="str">
        <f>District!B18</f>
        <v>2011-12</v>
      </c>
      <c r="C32" s="1248">
        <v>211</v>
      </c>
      <c r="D32" s="1409"/>
      <c r="E32" s="1188">
        <v>4660</v>
      </c>
      <c r="F32" s="1200"/>
      <c r="G32" s="1248">
        <v>197062</v>
      </c>
      <c r="H32" s="1409"/>
      <c r="I32" s="1188">
        <v>4337272</v>
      </c>
      <c r="J32" s="1200"/>
      <c r="N32"/>
      <c r="O32"/>
      <c r="P32"/>
      <c r="Q32"/>
      <c r="R32"/>
      <c r="S32"/>
      <c r="T32"/>
      <c r="U32"/>
    </row>
    <row r="33" spans="2:21" ht="24" customHeight="1">
      <c r="B33" s="29" t="str">
        <f>District!B19</f>
        <v>2012-13</v>
      </c>
      <c r="C33" s="1248">
        <v>216</v>
      </c>
      <c r="D33" s="1409"/>
      <c r="E33" s="1183">
        <v>4860</v>
      </c>
      <c r="F33" s="1200"/>
      <c r="G33" s="1248">
        <v>211866</v>
      </c>
      <c r="H33" s="1409"/>
      <c r="I33" s="1183">
        <v>4707268</v>
      </c>
      <c r="J33" s="1200"/>
      <c r="N33"/>
      <c r="O33"/>
      <c r="P33"/>
      <c r="Q33"/>
      <c r="R33"/>
      <c r="S33"/>
      <c r="T33"/>
      <c r="U33"/>
    </row>
    <row r="34" spans="2:21" ht="24" customHeight="1">
      <c r="B34" s="56" t="str">
        <f>District!B20</f>
        <v>2013-14</v>
      </c>
      <c r="C34" s="1268">
        <v>214</v>
      </c>
      <c r="D34" s="1416"/>
      <c r="E34" s="1242">
        <v>4906</v>
      </c>
      <c r="F34" s="1185"/>
      <c r="G34" s="1268">
        <v>213836</v>
      </c>
      <c r="H34" s="1416"/>
      <c r="I34" s="1242">
        <v>4746013</v>
      </c>
      <c r="J34" s="1185"/>
      <c r="N34"/>
      <c r="O34"/>
      <c r="P34"/>
      <c r="Q34"/>
      <c r="R34"/>
      <c r="S34"/>
      <c r="T34"/>
      <c r="U34"/>
    </row>
    <row r="35" spans="2:21" ht="13.5" customHeight="1">
      <c r="B35" s="2"/>
      <c r="C35" s="61"/>
      <c r="D35" s="60"/>
      <c r="E35" s="60"/>
      <c r="G35" s="524"/>
      <c r="H35" s="524"/>
      <c r="I35" s="524"/>
      <c r="J35" s="525" t="s">
        <v>1451</v>
      </c>
    </row>
    <row r="36" spans="2:21" ht="14.25" customHeight="1">
      <c r="C36" s="526"/>
      <c r="F36" s="296"/>
      <c r="G36" s="296"/>
      <c r="H36" s="296"/>
      <c r="I36" s="296"/>
      <c r="J36" s="296"/>
    </row>
    <row r="40" spans="2:21">
      <c r="G40" s="517"/>
      <c r="H40" s="517"/>
      <c r="I40" s="517"/>
      <c r="J40" s="517"/>
    </row>
    <row r="41" spans="2:21">
      <c r="G41" s="517"/>
      <c r="H41" s="517"/>
      <c r="I41" s="517"/>
      <c r="J41" s="517"/>
    </row>
  </sheetData>
  <mergeCells count="92">
    <mergeCell ref="B27:B28"/>
    <mergeCell ref="E31:F31"/>
    <mergeCell ref="E34:F34"/>
    <mergeCell ref="D18:E18"/>
    <mergeCell ref="C34:D34"/>
    <mergeCell ref="D22:E22"/>
    <mergeCell ref="B23:C23"/>
    <mergeCell ref="C31:D31"/>
    <mergeCell ref="E33:F33"/>
    <mergeCell ref="D21:E21"/>
    <mergeCell ref="B26:J26"/>
    <mergeCell ref="C33:D33"/>
    <mergeCell ref="E32:F32"/>
    <mergeCell ref="E29:F29"/>
    <mergeCell ref="E30:F30"/>
    <mergeCell ref="C32:D32"/>
    <mergeCell ref="I31:J31"/>
    <mergeCell ref="G32:H32"/>
    <mergeCell ref="I33:J33"/>
    <mergeCell ref="G33:H33"/>
    <mergeCell ref="I32:J32"/>
    <mergeCell ref="G31:H31"/>
    <mergeCell ref="G34:H34"/>
    <mergeCell ref="E10:F10"/>
    <mergeCell ref="G28:H28"/>
    <mergeCell ref="E28:F28"/>
    <mergeCell ref="B14:J14"/>
    <mergeCell ref="D19:E19"/>
    <mergeCell ref="C10:D10"/>
    <mergeCell ref="B15:B16"/>
    <mergeCell ref="I34:J34"/>
    <mergeCell ref="C27:F27"/>
    <mergeCell ref="D23:E23"/>
    <mergeCell ref="D17:E17"/>
    <mergeCell ref="I15:J16"/>
    <mergeCell ref="C15:E15"/>
    <mergeCell ref="G16:H16"/>
    <mergeCell ref="D20:E20"/>
    <mergeCell ref="I21:J21"/>
    <mergeCell ref="G27:J27"/>
    <mergeCell ref="I4:J4"/>
    <mergeCell ref="I5:J5"/>
    <mergeCell ref="G4:H4"/>
    <mergeCell ref="G5:H5"/>
    <mergeCell ref="G6:H6"/>
    <mergeCell ref="G21:H21"/>
    <mergeCell ref="G22:H22"/>
    <mergeCell ref="I7:J7"/>
    <mergeCell ref="I9:J9"/>
    <mergeCell ref="F15:H15"/>
    <mergeCell ref="G7:H7"/>
    <mergeCell ref="I10:J10"/>
    <mergeCell ref="G8:H8"/>
    <mergeCell ref="G10:H10"/>
    <mergeCell ref="E4:F4"/>
    <mergeCell ref="E6:F6"/>
    <mergeCell ref="C6:D6"/>
    <mergeCell ref="G19:H19"/>
    <mergeCell ref="I20:J20"/>
    <mergeCell ref="I8:J8"/>
    <mergeCell ref="B1:J1"/>
    <mergeCell ref="B13:J13"/>
    <mergeCell ref="B25:J25"/>
    <mergeCell ref="I17:J17"/>
    <mergeCell ref="I18:J18"/>
    <mergeCell ref="I19:J19"/>
    <mergeCell ref="G18:H18"/>
    <mergeCell ref="G17:H17"/>
    <mergeCell ref="I22:J22"/>
    <mergeCell ref="E5:F5"/>
    <mergeCell ref="B2:J2"/>
    <mergeCell ref="G20:H20"/>
    <mergeCell ref="E7:F7"/>
    <mergeCell ref="G9:H9"/>
    <mergeCell ref="E8:F8"/>
    <mergeCell ref="D16:E16"/>
    <mergeCell ref="I3:J3"/>
    <mergeCell ref="I6:J6"/>
    <mergeCell ref="C28:D28"/>
    <mergeCell ref="C29:D29"/>
    <mergeCell ref="I30:J30"/>
    <mergeCell ref="G30:H30"/>
    <mergeCell ref="G29:H29"/>
    <mergeCell ref="I29:J29"/>
    <mergeCell ref="C30:D30"/>
    <mergeCell ref="I28:J28"/>
    <mergeCell ref="C4:D4"/>
    <mergeCell ref="C5:D5"/>
    <mergeCell ref="C9:D9"/>
    <mergeCell ref="E9:F9"/>
    <mergeCell ref="C7:D7"/>
    <mergeCell ref="C8:D8"/>
  </mergeCells>
  <phoneticPr fontId="0" type="noConversion"/>
  <printOptions horizontalCentered="1"/>
  <pageMargins left="0.1" right="0.1" top="0.75" bottom="0.1" header="0.34" footer="0.1"/>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sheetPr codeName="Sheet62"/>
  <dimension ref="A1:G41"/>
  <sheetViews>
    <sheetView topLeftCell="A16" workbookViewId="0">
      <selection activeCell="M30" sqref="M30"/>
    </sheetView>
  </sheetViews>
  <sheetFormatPr defaultRowHeight="12.75"/>
  <cols>
    <col min="1" max="1" width="3.42578125" style="172" customWidth="1"/>
    <col min="2" max="2" width="17.85546875" style="172" customWidth="1"/>
    <col min="3" max="7" width="12.7109375" style="172" customWidth="1"/>
    <col min="8" max="16384" width="9.140625" style="172"/>
  </cols>
  <sheetData>
    <row r="1" spans="1:7" ht="13.5" customHeight="1">
      <c r="A1" s="1229" t="s">
        <v>829</v>
      </c>
      <c r="B1" s="1229"/>
      <c r="C1" s="1229"/>
      <c r="D1" s="1229"/>
      <c r="E1" s="1229"/>
      <c r="F1" s="1229"/>
      <c r="G1" s="1229"/>
    </row>
    <row r="2" spans="1:7" ht="18" customHeight="1">
      <c r="A2" s="1231" t="str">
        <f>CONCATENATE("Live-stock and Poultry in the district of ",District!A1)</f>
        <v>Live-stock and Poultry in the district of Bankura</v>
      </c>
      <c r="B2" s="1231"/>
      <c r="C2" s="1231"/>
      <c r="D2" s="1231"/>
      <c r="E2" s="1231"/>
      <c r="F2" s="1231"/>
      <c r="G2" s="1231"/>
    </row>
    <row r="3" spans="1:7" ht="15.75" customHeight="1">
      <c r="G3" s="18" t="s">
        <v>452</v>
      </c>
    </row>
    <row r="4" spans="1:7" ht="18" customHeight="1">
      <c r="A4" s="1186" t="s">
        <v>577</v>
      </c>
      <c r="B4" s="1184"/>
      <c r="C4" s="1114">
        <v>1994</v>
      </c>
      <c r="D4" s="1114">
        <v>1997</v>
      </c>
      <c r="E4" s="1114">
        <v>2003</v>
      </c>
      <c r="F4" s="1114">
        <v>2007</v>
      </c>
      <c r="G4" s="210">
        <v>2012</v>
      </c>
    </row>
    <row r="5" spans="1:7" ht="18" customHeight="1">
      <c r="A5" s="1201" t="s">
        <v>418</v>
      </c>
      <c r="B5" s="1192"/>
      <c r="C5" s="213" t="s">
        <v>419</v>
      </c>
      <c r="D5" s="213" t="s">
        <v>420</v>
      </c>
      <c r="E5" s="213" t="s">
        <v>421</v>
      </c>
      <c r="F5" s="213" t="s">
        <v>422</v>
      </c>
      <c r="G5" s="214" t="s">
        <v>423</v>
      </c>
    </row>
    <row r="6" spans="1:7" ht="28.5" customHeight="1">
      <c r="A6" s="169" t="s">
        <v>942</v>
      </c>
      <c r="B6" s="346" t="s">
        <v>1116</v>
      </c>
      <c r="C6" s="184"/>
      <c r="D6" s="183"/>
      <c r="E6" s="183"/>
      <c r="F6" s="183"/>
      <c r="G6" s="184"/>
    </row>
    <row r="7" spans="1:7" ht="28.5" customHeight="1">
      <c r="A7" s="444"/>
      <c r="B7" s="203" t="s">
        <v>1117</v>
      </c>
      <c r="C7" s="1120">
        <v>431329</v>
      </c>
      <c r="D7" s="183">
        <v>444050</v>
      </c>
      <c r="E7" s="183">
        <v>497718</v>
      </c>
      <c r="F7" s="183">
        <v>568068</v>
      </c>
      <c r="G7" s="184">
        <v>493145</v>
      </c>
    </row>
    <row r="8" spans="1:7" ht="28.5" customHeight="1">
      <c r="A8" s="444"/>
      <c r="B8" s="203" t="s">
        <v>1401</v>
      </c>
      <c r="C8" s="1120">
        <v>403709</v>
      </c>
      <c r="D8" s="183">
        <v>415710</v>
      </c>
      <c r="E8" s="183">
        <v>373711</v>
      </c>
      <c r="F8" s="183">
        <v>399938</v>
      </c>
      <c r="G8" s="184">
        <v>335914</v>
      </c>
    </row>
    <row r="9" spans="1:7" ht="28.5" customHeight="1">
      <c r="A9" s="444"/>
      <c r="B9" s="203" t="s">
        <v>1118</v>
      </c>
      <c r="C9" s="1120">
        <v>467707</v>
      </c>
      <c r="D9" s="183">
        <v>481508</v>
      </c>
      <c r="E9" s="183">
        <v>564512</v>
      </c>
      <c r="F9" s="183">
        <v>583560</v>
      </c>
      <c r="G9" s="184">
        <v>535856</v>
      </c>
    </row>
    <row r="10" spans="1:7" ht="28.5" customHeight="1">
      <c r="A10" s="444"/>
      <c r="B10" s="346" t="s">
        <v>1402</v>
      </c>
      <c r="C10" s="1122">
        <f>SUM(C6:C9)</f>
        <v>1302745</v>
      </c>
      <c r="D10" s="34">
        <f>SUM(D6:D9)</f>
        <v>1341268</v>
      </c>
      <c r="E10" s="34">
        <f>SUM(E6:E9)</f>
        <v>1435941</v>
      </c>
      <c r="F10" s="34">
        <f>SUM(F6:F9)</f>
        <v>1551566</v>
      </c>
      <c r="G10" s="28">
        <f>SUM(G6:G9)</f>
        <v>1364915</v>
      </c>
    </row>
    <row r="11" spans="1:7" ht="28.5" customHeight="1">
      <c r="A11" s="169" t="s">
        <v>943</v>
      </c>
      <c r="B11" s="346" t="s">
        <v>1119</v>
      </c>
      <c r="C11" s="372"/>
      <c r="D11" s="527"/>
      <c r="E11" s="527"/>
      <c r="F11" s="527"/>
      <c r="G11" s="372"/>
    </row>
    <row r="12" spans="1:7" ht="28.5" customHeight="1">
      <c r="A12" s="444"/>
      <c r="B12" s="203" t="s">
        <v>1117</v>
      </c>
      <c r="C12" s="1120">
        <v>23855</v>
      </c>
      <c r="D12" s="183">
        <v>24156</v>
      </c>
      <c r="E12" s="183">
        <v>15902</v>
      </c>
      <c r="F12" s="183">
        <v>16319</v>
      </c>
      <c r="G12" s="184">
        <v>11979</v>
      </c>
    </row>
    <row r="13" spans="1:7" ht="28.5" customHeight="1">
      <c r="A13" s="444"/>
      <c r="B13" s="203" t="s">
        <v>1401</v>
      </c>
      <c r="C13" s="1120">
        <v>97918</v>
      </c>
      <c r="D13" s="183">
        <v>99155</v>
      </c>
      <c r="E13" s="183">
        <v>76865</v>
      </c>
      <c r="F13" s="183">
        <v>82372</v>
      </c>
      <c r="G13" s="184">
        <v>43170</v>
      </c>
    </row>
    <row r="14" spans="1:7" ht="28.5" customHeight="1">
      <c r="A14" s="444"/>
      <c r="B14" s="203" t="s">
        <v>1118</v>
      </c>
      <c r="C14" s="1120">
        <v>22059</v>
      </c>
      <c r="D14" s="183">
        <v>22337</v>
      </c>
      <c r="E14" s="183">
        <v>13275</v>
      </c>
      <c r="F14" s="183" t="s">
        <v>906</v>
      </c>
      <c r="G14" s="184">
        <v>11559</v>
      </c>
    </row>
    <row r="15" spans="1:7" ht="28.5" customHeight="1">
      <c r="A15" s="246"/>
      <c r="B15" s="346" t="s">
        <v>1403</v>
      </c>
      <c r="C15" s="1122">
        <f>SUM(C12:C14)</f>
        <v>143832</v>
      </c>
      <c r="D15" s="34">
        <f>SUM(D12:D14)</f>
        <v>145648</v>
      </c>
      <c r="E15" s="34">
        <f>SUM(E12:E14)</f>
        <v>106042</v>
      </c>
      <c r="F15" s="34">
        <f>SUM(F12:F14)</f>
        <v>98691</v>
      </c>
      <c r="G15" s="28">
        <f>SUM(G12:G14)</f>
        <v>66708</v>
      </c>
    </row>
    <row r="16" spans="1:7" ht="28.5" customHeight="1">
      <c r="A16" s="168" t="s">
        <v>944</v>
      </c>
      <c r="B16" s="203" t="s">
        <v>1404</v>
      </c>
      <c r="C16" s="1120">
        <v>123392</v>
      </c>
      <c r="D16" s="183">
        <v>139460</v>
      </c>
      <c r="E16" s="183">
        <v>114529</v>
      </c>
      <c r="F16" s="183">
        <v>100819</v>
      </c>
      <c r="G16" s="184">
        <v>79760</v>
      </c>
    </row>
    <row r="17" spans="1:7" ht="28.5" customHeight="1">
      <c r="A17" s="168" t="s">
        <v>945</v>
      </c>
      <c r="B17" s="203" t="s">
        <v>1122</v>
      </c>
      <c r="C17" s="1120">
        <v>709198</v>
      </c>
      <c r="D17" s="183">
        <v>786134</v>
      </c>
      <c r="E17" s="183">
        <v>740830</v>
      </c>
      <c r="F17" s="183">
        <v>893912</v>
      </c>
      <c r="G17" s="184">
        <v>756548</v>
      </c>
    </row>
    <row r="18" spans="1:7" ht="28.5" customHeight="1">
      <c r="A18" s="168" t="s">
        <v>946</v>
      </c>
      <c r="B18" s="203" t="s">
        <v>1411</v>
      </c>
      <c r="C18" s="1120">
        <v>10</v>
      </c>
      <c r="D18" s="183">
        <v>10</v>
      </c>
      <c r="E18" s="183">
        <v>52</v>
      </c>
      <c r="F18" s="183">
        <v>6</v>
      </c>
      <c r="G18" s="184">
        <v>17</v>
      </c>
    </row>
    <row r="19" spans="1:7" ht="28.5" customHeight="1">
      <c r="A19" s="168" t="s">
        <v>947</v>
      </c>
      <c r="B19" s="203" t="s">
        <v>1123</v>
      </c>
      <c r="C19" s="1120">
        <v>105168</v>
      </c>
      <c r="D19" s="183">
        <v>113403</v>
      </c>
      <c r="E19" s="183">
        <v>80587</v>
      </c>
      <c r="F19" s="183">
        <v>48363</v>
      </c>
      <c r="G19" s="184">
        <v>52959</v>
      </c>
    </row>
    <row r="20" spans="1:7" ht="28.5" customHeight="1">
      <c r="A20" s="168" t="s">
        <v>948</v>
      </c>
      <c r="B20" s="203" t="s">
        <v>1405</v>
      </c>
      <c r="C20" s="1115" t="s">
        <v>906</v>
      </c>
      <c r="D20" s="1116" t="s">
        <v>906</v>
      </c>
      <c r="E20" s="183">
        <v>70300</v>
      </c>
      <c r="F20" s="183">
        <v>85812</v>
      </c>
      <c r="G20" s="184">
        <v>449</v>
      </c>
    </row>
    <row r="21" spans="1:7" ht="28.5" customHeight="1">
      <c r="A21" s="29"/>
      <c r="B21" s="346" t="s">
        <v>1406</v>
      </c>
      <c r="C21" s="1122">
        <f>SUM(C16:C20,C15,C10)</f>
        <v>2384345</v>
      </c>
      <c r="D21" s="34">
        <f>SUM(D16:D20,D15,D10)</f>
        <v>2525923</v>
      </c>
      <c r="E21" s="34">
        <f>SUM(E16:E20,E15,E10)</f>
        <v>2548281</v>
      </c>
      <c r="F21" s="34">
        <f>SUM(F16:F20,F15,F10)</f>
        <v>2779169</v>
      </c>
      <c r="G21" s="28">
        <f>SUM(G16:G20,G15,G10)</f>
        <v>2321356</v>
      </c>
    </row>
    <row r="22" spans="1:7" ht="28.5" customHeight="1">
      <c r="A22" s="169" t="s">
        <v>949</v>
      </c>
      <c r="B22" s="346" t="s">
        <v>876</v>
      </c>
      <c r="C22" s="1120"/>
      <c r="D22" s="183"/>
      <c r="E22" s="183"/>
      <c r="F22" s="183"/>
      <c r="G22" s="184"/>
    </row>
    <row r="23" spans="1:7" ht="28.5" customHeight="1">
      <c r="A23" s="444"/>
      <c r="B23" s="203" t="s">
        <v>1124</v>
      </c>
      <c r="C23" s="372">
        <v>1219098</v>
      </c>
      <c r="D23" s="527">
        <v>1339958</v>
      </c>
      <c r="E23" s="527">
        <v>2157215</v>
      </c>
      <c r="F23" s="527">
        <v>3137251</v>
      </c>
      <c r="G23" s="372">
        <v>3332736</v>
      </c>
    </row>
    <row r="24" spans="1:7" ht="28.5" customHeight="1">
      <c r="A24" s="444"/>
      <c r="B24" s="203" t="s">
        <v>1125</v>
      </c>
      <c r="C24" s="1120">
        <v>759863</v>
      </c>
      <c r="D24" s="183">
        <v>861010</v>
      </c>
      <c r="E24" s="183">
        <v>768078</v>
      </c>
      <c r="F24" s="183">
        <v>730147</v>
      </c>
      <c r="G24" s="184">
        <v>438833</v>
      </c>
    </row>
    <row r="25" spans="1:7" ht="28.5" customHeight="1">
      <c r="A25" s="444"/>
      <c r="B25" s="203" t="s">
        <v>592</v>
      </c>
      <c r="C25" s="1115" t="s">
        <v>906</v>
      </c>
      <c r="D25" s="1116" t="s">
        <v>906</v>
      </c>
      <c r="E25" s="183">
        <v>39543</v>
      </c>
      <c r="F25" s="183">
        <v>13312</v>
      </c>
      <c r="G25" s="184">
        <v>4430</v>
      </c>
    </row>
    <row r="26" spans="1:7" ht="28.5" customHeight="1">
      <c r="A26" s="247"/>
      <c r="B26" s="943" t="s">
        <v>1407</v>
      </c>
      <c r="C26" s="1118">
        <f>SUM(C23:C25)</f>
        <v>1978961</v>
      </c>
      <c r="D26" s="35">
        <f>SUM(D23:D25)</f>
        <v>2200968</v>
      </c>
      <c r="E26" s="35">
        <f>SUM(E23:E25)</f>
        <v>2964836</v>
      </c>
      <c r="F26" s="35">
        <f>SUM(F23:F25)</f>
        <v>3880710</v>
      </c>
      <c r="G26" s="157">
        <f>SUM(G23:G25)</f>
        <v>3775999</v>
      </c>
    </row>
    <row r="27" spans="1:7" ht="14.25" customHeight="1">
      <c r="A27" s="2"/>
      <c r="B27" s="2"/>
      <c r="D27" s="1430" t="s">
        <v>211</v>
      </c>
      <c r="E27" s="1430"/>
      <c r="F27" s="1430"/>
      <c r="G27" s="1430"/>
    </row>
    <row r="28" spans="1:7">
      <c r="A28" s="14"/>
      <c r="B28" s="2"/>
    </row>
    <row r="29" spans="1:7" ht="12.75" customHeight="1">
      <c r="A29" s="14"/>
      <c r="B29" s="2"/>
    </row>
    <row r="30" spans="1:7">
      <c r="A30" s="14"/>
      <c r="B30" s="2"/>
    </row>
    <row r="31" spans="1:7">
      <c r="A31" s="2"/>
      <c r="B31" s="2"/>
    </row>
    <row r="32" spans="1:7">
      <c r="A32" s="2"/>
      <c r="B32" s="2"/>
    </row>
    <row r="33" spans="1:7">
      <c r="A33" s="14"/>
      <c r="B33" s="2"/>
    </row>
    <row r="34" spans="1:7">
      <c r="A34" s="14"/>
      <c r="B34" s="2"/>
    </row>
    <row r="35" spans="1:7">
      <c r="A35" s="14"/>
      <c r="B35" s="2"/>
    </row>
    <row r="36" spans="1:7">
      <c r="A36" s="14"/>
      <c r="B36" s="2"/>
    </row>
    <row r="37" spans="1:7">
      <c r="A37" s="14"/>
      <c r="B37" s="2"/>
    </row>
    <row r="38" spans="1:7">
      <c r="A38" s="14"/>
      <c r="B38" s="2"/>
    </row>
    <row r="39" spans="1:7">
      <c r="A39" s="15"/>
      <c r="B39" s="16"/>
      <c r="C39" s="177"/>
      <c r="D39" s="177"/>
      <c r="E39" s="177"/>
      <c r="F39" s="177"/>
      <c r="G39" s="177"/>
    </row>
    <row r="40" spans="1:7">
      <c r="A40" s="15"/>
      <c r="B40" s="16"/>
      <c r="C40" s="177"/>
      <c r="D40" s="177"/>
      <c r="E40" s="177"/>
      <c r="F40" s="177"/>
      <c r="G40" s="177"/>
    </row>
    <row r="41" spans="1:7">
      <c r="A41" s="177"/>
      <c r="B41" s="177"/>
      <c r="C41" s="177"/>
      <c r="D41" s="528"/>
      <c r="E41" s="177"/>
      <c r="F41" s="177"/>
      <c r="G41" s="177"/>
    </row>
  </sheetData>
  <mergeCells count="5">
    <mergeCell ref="A1:G1"/>
    <mergeCell ref="D27:G27"/>
    <mergeCell ref="A4:B4"/>
    <mergeCell ref="A5:B5"/>
    <mergeCell ref="A2:G2"/>
  </mergeCells>
  <phoneticPr fontId="0" type="noConversion"/>
  <conditionalFormatting sqref="A1:XFD1048576">
    <cfRule type="cellIs" dxfId="9" priority="1" stopIfTrue="1" operator="equal">
      <formula>".."</formula>
    </cfRule>
  </conditionalFormatting>
  <printOptions horizontalCentered="1"/>
  <pageMargins left="0.15" right="0.1" top="1.08" bottom="0.1" header="0.77" footer="0.1"/>
  <pageSetup paperSize="9" orientation="portrait" r:id="rId1"/>
  <headerFooter alignWithMargins="0"/>
</worksheet>
</file>

<file path=xl/worksheets/sheet52.xml><?xml version="1.0" encoding="utf-8"?>
<worksheet xmlns="http://schemas.openxmlformats.org/spreadsheetml/2006/main" xmlns:r="http://schemas.openxmlformats.org/officeDocument/2006/relationships">
  <sheetPr codeName="Sheet38"/>
  <dimension ref="A1:I47"/>
  <sheetViews>
    <sheetView topLeftCell="A7" workbookViewId="0">
      <selection activeCell="M30" sqref="M30"/>
    </sheetView>
  </sheetViews>
  <sheetFormatPr defaultRowHeight="12.4" customHeight="1"/>
  <cols>
    <col min="1" max="1" width="17.28515625" style="266" customWidth="1"/>
    <col min="2" max="6" width="7.5703125" style="266" customWidth="1"/>
    <col min="7" max="7" width="13.7109375" style="266" customWidth="1"/>
    <col min="8" max="8" width="9.7109375" style="266" customWidth="1"/>
    <col min="9" max="9" width="9" style="266" customWidth="1"/>
    <col min="10" max="16384" width="9.140625" style="266"/>
  </cols>
  <sheetData>
    <row r="1" spans="1:9" ht="13.5" customHeight="1">
      <c r="A1" s="1181" t="s">
        <v>830</v>
      </c>
      <c r="B1" s="1181"/>
      <c r="C1" s="1181"/>
      <c r="D1" s="1181"/>
      <c r="E1" s="1181"/>
      <c r="F1" s="1181"/>
      <c r="G1" s="1181"/>
      <c r="H1" s="1181"/>
      <c r="I1" s="1181"/>
    </row>
    <row r="2" spans="1:9" s="259" customFormat="1" ht="31.5" customHeight="1">
      <c r="A2" s="1226" t="str">
        <f>CONCATENATE("Veterinary Hospitals, Veterinary Personnel and Cases treated 
in the district of ",District!A1)</f>
        <v>Veterinary Hospitals, Veterinary Personnel and Cases treated 
in the district of Bankura</v>
      </c>
      <c r="B2" s="1226"/>
      <c r="C2" s="1226"/>
      <c r="D2" s="1226"/>
      <c r="E2" s="1226"/>
      <c r="F2" s="1226"/>
      <c r="G2" s="1226"/>
      <c r="H2" s="1226"/>
      <c r="I2" s="1226"/>
    </row>
    <row r="3" spans="1:9" ht="12" customHeight="1">
      <c r="A3" s="259"/>
      <c r="B3" s="260"/>
      <c r="C3" s="260"/>
      <c r="D3" s="260"/>
      <c r="E3" s="260"/>
      <c r="F3" s="260"/>
      <c r="G3" s="260"/>
      <c r="H3" s="260"/>
      <c r="I3" s="114" t="s">
        <v>452</v>
      </c>
    </row>
    <row r="4" spans="1:9" ht="51.75" customHeight="1">
      <c r="A4" s="58" t="s">
        <v>304</v>
      </c>
      <c r="B4" s="207" t="s">
        <v>636</v>
      </c>
      <c r="C4" s="220" t="s">
        <v>637</v>
      </c>
      <c r="D4" s="58" t="s">
        <v>638</v>
      </c>
      <c r="E4" s="220" t="s">
        <v>639</v>
      </c>
      <c r="F4" s="58" t="s">
        <v>640</v>
      </c>
      <c r="G4" s="229" t="s">
        <v>1330</v>
      </c>
      <c r="H4" s="207" t="s">
        <v>94</v>
      </c>
      <c r="I4" s="336" t="s">
        <v>1540</v>
      </c>
    </row>
    <row r="5" spans="1:9" ht="14.25" customHeight="1">
      <c r="A5" s="213" t="s">
        <v>418</v>
      </c>
      <c r="B5" s="213" t="s">
        <v>419</v>
      </c>
      <c r="C5" s="222" t="s">
        <v>420</v>
      </c>
      <c r="D5" s="213" t="s">
        <v>421</v>
      </c>
      <c r="E5" s="222" t="s">
        <v>422</v>
      </c>
      <c r="F5" s="213" t="s">
        <v>423</v>
      </c>
      <c r="G5" s="222" t="s">
        <v>424</v>
      </c>
      <c r="H5" s="213" t="s">
        <v>440</v>
      </c>
      <c r="I5" s="216" t="s">
        <v>441</v>
      </c>
    </row>
    <row r="6" spans="1:9" ht="16.5" customHeight="1">
      <c r="A6" s="33" t="str">
        <f>District!B16</f>
        <v>2009-10</v>
      </c>
      <c r="B6" s="183">
        <v>5</v>
      </c>
      <c r="C6" s="189">
        <v>22</v>
      </c>
      <c r="D6" s="183">
        <v>22</v>
      </c>
      <c r="E6" s="189">
        <v>83</v>
      </c>
      <c r="F6" s="183" t="s">
        <v>1127</v>
      </c>
      <c r="G6" s="189">
        <v>205</v>
      </c>
      <c r="H6" s="183">
        <v>219</v>
      </c>
      <c r="I6" s="184">
        <v>570630</v>
      </c>
    </row>
    <row r="7" spans="1:9" ht="16.5" customHeight="1">
      <c r="A7" s="33" t="str">
        <f>District!B17</f>
        <v>2010-11</v>
      </c>
      <c r="B7" s="183">
        <v>5</v>
      </c>
      <c r="C7" s="302">
        <v>22</v>
      </c>
      <c r="D7" s="183">
        <v>22</v>
      </c>
      <c r="E7" s="302">
        <v>83</v>
      </c>
      <c r="F7" s="183" t="s">
        <v>1127</v>
      </c>
      <c r="G7" s="302">
        <v>205</v>
      </c>
      <c r="H7" s="183">
        <v>219</v>
      </c>
      <c r="I7" s="184">
        <v>314943</v>
      </c>
    </row>
    <row r="8" spans="1:9" ht="16.5" customHeight="1">
      <c r="A8" s="33" t="str">
        <f>District!B18</f>
        <v>2011-12</v>
      </c>
      <c r="B8" s="183">
        <v>5</v>
      </c>
      <c r="C8" s="302">
        <v>22</v>
      </c>
      <c r="D8" s="183">
        <v>22</v>
      </c>
      <c r="E8" s="302">
        <v>145</v>
      </c>
      <c r="F8" s="183" t="s">
        <v>1127</v>
      </c>
      <c r="G8" s="302">
        <v>345</v>
      </c>
      <c r="H8" s="183">
        <v>214</v>
      </c>
      <c r="I8" s="184">
        <v>628524</v>
      </c>
    </row>
    <row r="9" spans="1:9" ht="16.5" customHeight="1">
      <c r="A9" s="33" t="str">
        <f>District!B19</f>
        <v>2012-13</v>
      </c>
      <c r="B9" s="183">
        <v>5</v>
      </c>
      <c r="C9" s="302">
        <v>22</v>
      </c>
      <c r="D9" s="183">
        <v>22</v>
      </c>
      <c r="E9" s="302">
        <v>76</v>
      </c>
      <c r="F9" s="183" t="s">
        <v>1127</v>
      </c>
      <c r="G9" s="302">
        <v>212</v>
      </c>
      <c r="H9" s="183">
        <v>214</v>
      </c>
      <c r="I9" s="184">
        <v>790718</v>
      </c>
    </row>
    <row r="10" spans="1:9" ht="16.5" customHeight="1">
      <c r="A10" s="56" t="str">
        <f>District!B20</f>
        <v>2013-14</v>
      </c>
      <c r="B10" s="41">
        <f>SUM(B12,B22,B31)</f>
        <v>5</v>
      </c>
      <c r="C10" s="24">
        <f t="shared" ref="C10:I10" si="0">SUM(C12,C22,C31)</f>
        <v>22</v>
      </c>
      <c r="D10" s="41">
        <f t="shared" si="0"/>
        <v>22</v>
      </c>
      <c r="E10" s="24">
        <f t="shared" si="0"/>
        <v>76</v>
      </c>
      <c r="F10" s="143" t="str">
        <f>IF(SUM(F11:F19)=0,"-")</f>
        <v>-</v>
      </c>
      <c r="G10" s="24">
        <f t="shared" si="0"/>
        <v>213</v>
      </c>
      <c r="H10" s="41">
        <f t="shared" si="0"/>
        <v>214</v>
      </c>
      <c r="I10" s="42">
        <f t="shared" si="0"/>
        <v>979018</v>
      </c>
    </row>
    <row r="11" spans="1:9" ht="27.75" customHeight="1">
      <c r="A11" s="211" t="s">
        <v>287</v>
      </c>
      <c r="B11" s="1198" t="str">
        <f>"Year :  " &amp; A10</f>
        <v>Year :  2013-14</v>
      </c>
      <c r="C11" s="1306"/>
      <c r="D11" s="1306"/>
      <c r="E11" s="1306"/>
      <c r="F11" s="1306"/>
      <c r="G11" s="1306"/>
      <c r="H11" s="1306"/>
      <c r="I11" s="1199"/>
    </row>
    <row r="12" spans="1:9" ht="15" customHeight="1">
      <c r="A12" s="529" t="s">
        <v>1077</v>
      </c>
      <c r="B12" s="530">
        <f>SUM(B13:B21)</f>
        <v>1</v>
      </c>
      <c r="C12" s="88">
        <f>SUM(C13:C21)</f>
        <v>8</v>
      </c>
      <c r="D12" s="530">
        <f>SUM(D13:D21)</f>
        <v>9</v>
      </c>
      <c r="E12" s="88">
        <f>SUM(E13:E21)</f>
        <v>23</v>
      </c>
      <c r="F12" s="530" t="str">
        <f>IF(SUM(F13:F21)=0,"-")</f>
        <v>-</v>
      </c>
      <c r="G12" s="88">
        <f>SUM(G13:G21)</f>
        <v>77</v>
      </c>
      <c r="H12" s="530">
        <f>SUM(H13:H21)</f>
        <v>67</v>
      </c>
      <c r="I12" s="531">
        <f>SUM(I13:I21)</f>
        <v>211852</v>
      </c>
    </row>
    <row r="13" spans="1:9" ht="15" customHeight="1">
      <c r="A13" s="509" t="s">
        <v>596</v>
      </c>
      <c r="B13" s="183" t="s">
        <v>1127</v>
      </c>
      <c r="C13" s="189">
        <v>1</v>
      </c>
      <c r="D13" s="183">
        <v>1</v>
      </c>
      <c r="E13" s="189">
        <v>3</v>
      </c>
      <c r="F13" s="532" t="s">
        <v>1127</v>
      </c>
      <c r="G13" s="250">
        <v>6</v>
      </c>
      <c r="H13" s="183">
        <v>11</v>
      </c>
      <c r="I13" s="184">
        <v>22790</v>
      </c>
    </row>
    <row r="14" spans="1:9" ht="15" customHeight="1">
      <c r="A14" s="509" t="s">
        <v>365</v>
      </c>
      <c r="B14" s="371">
        <v>1</v>
      </c>
      <c r="C14" s="189" t="s">
        <v>1127</v>
      </c>
      <c r="D14" s="183" t="s">
        <v>1127</v>
      </c>
      <c r="E14" s="189" t="s">
        <v>1127</v>
      </c>
      <c r="F14" s="532" t="s">
        <v>1127</v>
      </c>
      <c r="G14" s="250" t="s">
        <v>1127</v>
      </c>
      <c r="H14" s="371">
        <v>3</v>
      </c>
      <c r="I14" s="183">
        <v>15324</v>
      </c>
    </row>
    <row r="15" spans="1:9" ht="15" customHeight="1">
      <c r="A15" s="509" t="s">
        <v>595</v>
      </c>
      <c r="B15" s="183" t="s">
        <v>1127</v>
      </c>
      <c r="C15" s="189">
        <v>1</v>
      </c>
      <c r="D15" s="183">
        <v>1</v>
      </c>
      <c r="E15" s="189">
        <v>3</v>
      </c>
      <c r="F15" s="532" t="s">
        <v>1127</v>
      </c>
      <c r="G15" s="250">
        <v>7</v>
      </c>
      <c r="H15" s="183">
        <v>7</v>
      </c>
      <c r="I15" s="417">
        <v>21313</v>
      </c>
    </row>
    <row r="16" spans="1:9" ht="15" customHeight="1">
      <c r="A16" s="509" t="s">
        <v>597</v>
      </c>
      <c r="B16" s="183" t="s">
        <v>1127</v>
      </c>
      <c r="C16" s="189">
        <v>1</v>
      </c>
      <c r="D16" s="371">
        <v>1</v>
      </c>
      <c r="E16" s="189">
        <v>5</v>
      </c>
      <c r="F16" s="532" t="s">
        <v>1127</v>
      </c>
      <c r="G16" s="250">
        <v>12</v>
      </c>
      <c r="H16" s="183">
        <v>8</v>
      </c>
      <c r="I16" s="184">
        <v>41830</v>
      </c>
    </row>
    <row r="17" spans="1:9" ht="15" customHeight="1">
      <c r="A17" s="509" t="s">
        <v>598</v>
      </c>
      <c r="B17" s="183" t="s">
        <v>1127</v>
      </c>
      <c r="C17" s="189">
        <v>1</v>
      </c>
      <c r="D17" s="183">
        <v>1</v>
      </c>
      <c r="E17" s="189">
        <v>3</v>
      </c>
      <c r="F17" s="532" t="s">
        <v>1127</v>
      </c>
      <c r="G17" s="250">
        <v>10</v>
      </c>
      <c r="H17" s="183">
        <v>7</v>
      </c>
      <c r="I17" s="184">
        <v>16904</v>
      </c>
    </row>
    <row r="18" spans="1:9" ht="15" customHeight="1">
      <c r="A18" s="509" t="s">
        <v>599</v>
      </c>
      <c r="B18" s="183" t="s">
        <v>1127</v>
      </c>
      <c r="C18" s="189">
        <v>1</v>
      </c>
      <c r="D18" s="183">
        <v>1</v>
      </c>
      <c r="E18" s="189">
        <v>1</v>
      </c>
      <c r="F18" s="532" t="s">
        <v>1127</v>
      </c>
      <c r="G18" s="250">
        <v>5</v>
      </c>
      <c r="H18" s="183">
        <v>6</v>
      </c>
      <c r="I18" s="184">
        <v>15511</v>
      </c>
    </row>
    <row r="19" spans="1:9" ht="15" customHeight="1">
      <c r="A19" s="509" t="s">
        <v>771</v>
      </c>
      <c r="B19" s="183" t="s">
        <v>1127</v>
      </c>
      <c r="C19" s="189">
        <v>1</v>
      </c>
      <c r="D19" s="183">
        <v>2</v>
      </c>
      <c r="E19" s="189" t="s">
        <v>1127</v>
      </c>
      <c r="F19" s="532" t="s">
        <v>1127</v>
      </c>
      <c r="G19" s="250">
        <v>8</v>
      </c>
      <c r="H19" s="183">
        <v>4</v>
      </c>
      <c r="I19" s="184">
        <v>23228</v>
      </c>
    </row>
    <row r="20" spans="1:9" ht="15" customHeight="1">
      <c r="A20" s="509" t="s">
        <v>600</v>
      </c>
      <c r="B20" s="183" t="s">
        <v>1127</v>
      </c>
      <c r="C20" s="189">
        <v>1</v>
      </c>
      <c r="D20" s="183">
        <v>1</v>
      </c>
      <c r="E20" s="189">
        <v>2</v>
      </c>
      <c r="F20" s="532" t="s">
        <v>1127</v>
      </c>
      <c r="G20" s="250">
        <v>12</v>
      </c>
      <c r="H20" s="183">
        <v>7</v>
      </c>
      <c r="I20" s="184">
        <v>28644</v>
      </c>
    </row>
    <row r="21" spans="1:9" ht="15" customHeight="1">
      <c r="A21" s="509" t="s">
        <v>602</v>
      </c>
      <c r="B21" s="183" t="s">
        <v>1127</v>
      </c>
      <c r="C21" s="189">
        <v>1</v>
      </c>
      <c r="D21" s="183">
        <v>1</v>
      </c>
      <c r="E21" s="189">
        <v>6</v>
      </c>
      <c r="F21" s="532" t="s">
        <v>1127</v>
      </c>
      <c r="G21" s="250">
        <v>17</v>
      </c>
      <c r="H21" s="183">
        <v>14</v>
      </c>
      <c r="I21" s="184">
        <v>26308</v>
      </c>
    </row>
    <row r="22" spans="1:9" ht="15" customHeight="1">
      <c r="A22" s="533" t="s">
        <v>273</v>
      </c>
      <c r="B22" s="532">
        <f>SUM(B23:B30)</f>
        <v>1</v>
      </c>
      <c r="C22" s="88">
        <f>SUM(C23:C30)</f>
        <v>8</v>
      </c>
      <c r="D22" s="532">
        <f>SUM(D23:D30)</f>
        <v>7</v>
      </c>
      <c r="E22" s="88">
        <f>SUM(E23:E30)</f>
        <v>27</v>
      </c>
      <c r="F22" s="532" t="str">
        <f>IF(SUM(F23:F31)=0,"-")</f>
        <v>-</v>
      </c>
      <c r="G22" s="88">
        <f>SUM(G23:G30)</f>
        <v>77</v>
      </c>
      <c r="H22" s="532">
        <f>SUM(H23:H30)</f>
        <v>74</v>
      </c>
      <c r="I22" s="531">
        <f>SUM(I23:I30)</f>
        <v>517228</v>
      </c>
    </row>
    <row r="23" spans="1:9" ht="15" customHeight="1">
      <c r="A23" s="509" t="s">
        <v>605</v>
      </c>
      <c r="B23" s="183" t="s">
        <v>1127</v>
      </c>
      <c r="C23" s="189">
        <v>1</v>
      </c>
      <c r="D23" s="183">
        <v>1</v>
      </c>
      <c r="E23" s="189">
        <v>4</v>
      </c>
      <c r="F23" s="532" t="s">
        <v>1127</v>
      </c>
      <c r="G23" s="250">
        <v>7</v>
      </c>
      <c r="H23" s="183">
        <v>9</v>
      </c>
      <c r="I23" s="184">
        <v>30489</v>
      </c>
    </row>
    <row r="24" spans="1:9" ht="15" customHeight="1">
      <c r="A24" s="509" t="s">
        <v>604</v>
      </c>
      <c r="B24" s="183">
        <v>1</v>
      </c>
      <c r="C24" s="961">
        <v>1</v>
      </c>
      <c r="D24" s="964">
        <v>1</v>
      </c>
      <c r="E24" s="189">
        <v>3</v>
      </c>
      <c r="F24" s="532" t="s">
        <v>1127</v>
      </c>
      <c r="G24" s="250">
        <v>6</v>
      </c>
      <c r="H24" s="183">
        <v>8</v>
      </c>
      <c r="I24" s="184">
        <v>124064</v>
      </c>
    </row>
    <row r="25" spans="1:9" ht="15" customHeight="1">
      <c r="A25" s="509" t="s">
        <v>368</v>
      </c>
      <c r="B25" s="183" t="s">
        <v>1127</v>
      </c>
      <c r="C25" s="189">
        <v>1</v>
      </c>
      <c r="D25" s="183">
        <v>1</v>
      </c>
      <c r="E25" s="189">
        <v>3</v>
      </c>
      <c r="F25" s="532" t="s">
        <v>1127</v>
      </c>
      <c r="G25" s="250">
        <v>5</v>
      </c>
      <c r="H25" s="183">
        <v>6</v>
      </c>
      <c r="I25" s="184">
        <v>57868</v>
      </c>
    </row>
    <row r="26" spans="1:9" ht="15" customHeight="1">
      <c r="A26" s="509" t="s">
        <v>606</v>
      </c>
      <c r="B26" s="183" t="s">
        <v>1127</v>
      </c>
      <c r="C26" s="189">
        <v>1</v>
      </c>
      <c r="D26" s="183">
        <v>1</v>
      </c>
      <c r="E26" s="189">
        <v>3</v>
      </c>
      <c r="F26" s="532" t="s">
        <v>1127</v>
      </c>
      <c r="G26" s="250">
        <v>8</v>
      </c>
      <c r="H26" s="183">
        <v>11</v>
      </c>
      <c r="I26" s="184">
        <v>109535</v>
      </c>
    </row>
    <row r="27" spans="1:9" ht="15" customHeight="1">
      <c r="A27" s="509" t="s">
        <v>347</v>
      </c>
      <c r="B27" s="183" t="s">
        <v>1127</v>
      </c>
      <c r="C27" s="189">
        <v>1</v>
      </c>
      <c r="D27" s="183">
        <v>1</v>
      </c>
      <c r="E27" s="189">
        <v>3</v>
      </c>
      <c r="F27" s="532" t="s">
        <v>1127</v>
      </c>
      <c r="G27" s="250">
        <v>10</v>
      </c>
      <c r="H27" s="183">
        <v>9</v>
      </c>
      <c r="I27" s="184">
        <v>43071</v>
      </c>
    </row>
    <row r="28" spans="1:9" ht="15" customHeight="1">
      <c r="A28" s="509" t="s">
        <v>369</v>
      </c>
      <c r="B28" s="183" t="s">
        <v>1127</v>
      </c>
      <c r="C28" s="189">
        <v>1</v>
      </c>
      <c r="D28" s="183">
        <v>1</v>
      </c>
      <c r="E28" s="189">
        <v>5</v>
      </c>
      <c r="F28" s="532" t="s">
        <v>1127</v>
      </c>
      <c r="G28" s="250">
        <v>16</v>
      </c>
      <c r="H28" s="183">
        <v>12</v>
      </c>
      <c r="I28" s="184">
        <v>36809</v>
      </c>
    </row>
    <row r="29" spans="1:9" ht="15" customHeight="1">
      <c r="A29" s="509" t="s">
        <v>349</v>
      </c>
      <c r="B29" s="183" t="s">
        <v>1127</v>
      </c>
      <c r="C29" s="189">
        <v>1</v>
      </c>
      <c r="D29" s="83" t="s">
        <v>1127</v>
      </c>
      <c r="E29" s="189">
        <v>4</v>
      </c>
      <c r="F29" s="532" t="s">
        <v>1127</v>
      </c>
      <c r="G29" s="250">
        <v>13</v>
      </c>
      <c r="H29" s="183">
        <v>9</v>
      </c>
      <c r="I29" s="184">
        <v>52586</v>
      </c>
    </row>
    <row r="30" spans="1:9" ht="15" customHeight="1">
      <c r="A30" s="509" t="s">
        <v>370</v>
      </c>
      <c r="B30" s="183" t="s">
        <v>1127</v>
      </c>
      <c r="C30" s="189">
        <v>1</v>
      </c>
      <c r="D30" s="183">
        <v>1</v>
      </c>
      <c r="E30" s="189">
        <v>2</v>
      </c>
      <c r="F30" s="532" t="s">
        <v>1127</v>
      </c>
      <c r="G30" s="250">
        <v>12</v>
      </c>
      <c r="H30" s="183">
        <v>10</v>
      </c>
      <c r="I30" s="184">
        <v>62806</v>
      </c>
    </row>
    <row r="31" spans="1:9" ht="15" customHeight="1">
      <c r="A31" s="533" t="s">
        <v>372</v>
      </c>
      <c r="B31" s="532">
        <f>SUM(B32:B39)</f>
        <v>3</v>
      </c>
      <c r="C31" s="88">
        <f t="shared" ref="C31:I31" si="1">SUM(C32:C39)</f>
        <v>6</v>
      </c>
      <c r="D31" s="532">
        <f t="shared" si="1"/>
        <v>6</v>
      </c>
      <c r="E31" s="88">
        <f t="shared" si="1"/>
        <v>26</v>
      </c>
      <c r="F31" s="532" t="str">
        <f>IF(SUM(F32:F40)=0,"-")</f>
        <v>-</v>
      </c>
      <c r="G31" s="88">
        <f t="shared" si="1"/>
        <v>59</v>
      </c>
      <c r="H31" s="532">
        <f t="shared" si="1"/>
        <v>73</v>
      </c>
      <c r="I31" s="531">
        <f t="shared" si="1"/>
        <v>249938</v>
      </c>
    </row>
    <row r="32" spans="1:9" ht="15" customHeight="1">
      <c r="A32" s="509" t="s">
        <v>350</v>
      </c>
      <c r="B32" s="183" t="s">
        <v>1127</v>
      </c>
      <c r="C32" s="189">
        <v>1</v>
      </c>
      <c r="D32" s="183">
        <v>1</v>
      </c>
      <c r="E32" s="189">
        <v>6</v>
      </c>
      <c r="F32" s="532" t="s">
        <v>1127</v>
      </c>
      <c r="G32" s="250">
        <v>9</v>
      </c>
      <c r="H32" s="183">
        <v>9</v>
      </c>
      <c r="I32" s="184">
        <v>33542</v>
      </c>
    </row>
    <row r="33" spans="1:9" ht="15" customHeight="1">
      <c r="A33" s="509" t="s">
        <v>356</v>
      </c>
      <c r="B33" s="371">
        <v>1</v>
      </c>
      <c r="C33" s="189" t="s">
        <v>1127</v>
      </c>
      <c r="D33" s="183" t="s">
        <v>1127</v>
      </c>
      <c r="E33" s="189" t="s">
        <v>1127</v>
      </c>
      <c r="F33" s="532" t="s">
        <v>1127</v>
      </c>
      <c r="G33" s="250" t="s">
        <v>1127</v>
      </c>
      <c r="H33" s="371">
        <v>10</v>
      </c>
      <c r="I33" s="417">
        <v>6044</v>
      </c>
    </row>
    <row r="34" spans="1:9" ht="15" customHeight="1">
      <c r="A34" s="509" t="s">
        <v>351</v>
      </c>
      <c r="B34" s="183" t="s">
        <v>1127</v>
      </c>
      <c r="C34" s="189">
        <v>1</v>
      </c>
      <c r="D34" s="183">
        <v>1</v>
      </c>
      <c r="E34" s="189">
        <v>5</v>
      </c>
      <c r="F34" s="532" t="s">
        <v>1127</v>
      </c>
      <c r="G34" s="250">
        <v>9</v>
      </c>
      <c r="H34" s="183">
        <v>11</v>
      </c>
      <c r="I34" s="184">
        <v>27715</v>
      </c>
    </row>
    <row r="35" spans="1:9" ht="15" customHeight="1">
      <c r="A35" s="509" t="s">
        <v>352</v>
      </c>
      <c r="B35" s="183" t="s">
        <v>1127</v>
      </c>
      <c r="C35" s="189">
        <v>1</v>
      </c>
      <c r="D35" s="183">
        <v>1</v>
      </c>
      <c r="E35" s="189">
        <v>2</v>
      </c>
      <c r="F35" s="532" t="s">
        <v>1127</v>
      </c>
      <c r="G35" s="250">
        <v>7</v>
      </c>
      <c r="H35" s="183">
        <v>8</v>
      </c>
      <c r="I35" s="184">
        <v>32647</v>
      </c>
    </row>
    <row r="36" spans="1:9" ht="15" customHeight="1">
      <c r="A36" s="509" t="s">
        <v>353</v>
      </c>
      <c r="B36" s="183" t="s">
        <v>1127</v>
      </c>
      <c r="C36" s="189">
        <v>1</v>
      </c>
      <c r="D36" s="183">
        <v>1</v>
      </c>
      <c r="E36" s="189">
        <v>5</v>
      </c>
      <c r="F36" s="532" t="s">
        <v>1127</v>
      </c>
      <c r="G36" s="250">
        <v>14</v>
      </c>
      <c r="H36" s="183">
        <v>8</v>
      </c>
      <c r="I36" s="184">
        <v>82919</v>
      </c>
    </row>
    <row r="37" spans="1:9" ht="15" customHeight="1">
      <c r="A37" s="509" t="s">
        <v>362</v>
      </c>
      <c r="B37" s="183">
        <v>1</v>
      </c>
      <c r="C37" s="189" t="s">
        <v>1127</v>
      </c>
      <c r="D37" s="183" t="s">
        <v>1127</v>
      </c>
      <c r="E37" s="189" t="s">
        <v>1127</v>
      </c>
      <c r="F37" s="532" t="s">
        <v>1127</v>
      </c>
      <c r="G37" s="250" t="s">
        <v>1127</v>
      </c>
      <c r="H37" s="371">
        <v>9</v>
      </c>
      <c r="I37" s="417">
        <v>7269</v>
      </c>
    </row>
    <row r="38" spans="1:9" ht="15" customHeight="1">
      <c r="A38" s="509" t="s">
        <v>354</v>
      </c>
      <c r="B38" s="183" t="s">
        <v>1127</v>
      </c>
      <c r="C38" s="189">
        <v>1</v>
      </c>
      <c r="D38" s="183">
        <v>1</v>
      </c>
      <c r="E38" s="189">
        <v>6</v>
      </c>
      <c r="F38" s="532" t="s">
        <v>1127</v>
      </c>
      <c r="G38" s="250">
        <v>10</v>
      </c>
      <c r="H38" s="371">
        <v>12</v>
      </c>
      <c r="I38" s="184">
        <v>23574</v>
      </c>
    </row>
    <row r="39" spans="1:9" ht="15" customHeight="1">
      <c r="A39" s="511" t="s">
        <v>355</v>
      </c>
      <c r="B39" s="248">
        <v>1</v>
      </c>
      <c r="C39" s="965">
        <v>1</v>
      </c>
      <c r="D39" s="963">
        <v>1</v>
      </c>
      <c r="E39" s="227">
        <v>2</v>
      </c>
      <c r="F39" s="143" t="s">
        <v>1127</v>
      </c>
      <c r="G39" s="250">
        <v>10</v>
      </c>
      <c r="H39" s="248">
        <v>6</v>
      </c>
      <c r="I39" s="194">
        <v>36228</v>
      </c>
    </row>
    <row r="40" spans="1:9" ht="12" customHeight="1">
      <c r="A40" s="719" t="s">
        <v>95</v>
      </c>
      <c r="B40" s="719"/>
      <c r="F40" s="84" t="s">
        <v>881</v>
      </c>
      <c r="G40" s="1431" t="s">
        <v>258</v>
      </c>
      <c r="H40" s="1431"/>
      <c r="I40" s="1431"/>
    </row>
    <row r="41" spans="1:9" ht="12" customHeight="1">
      <c r="A41" s="719" t="s">
        <v>111</v>
      </c>
      <c r="B41" s="719"/>
      <c r="C41" s="258"/>
      <c r="D41" s="258"/>
      <c r="G41" s="1401"/>
      <c r="H41" s="1401"/>
      <c r="I41" s="1401"/>
    </row>
    <row r="42" spans="1:9" ht="12" customHeight="1">
      <c r="A42" s="719" t="s">
        <v>112</v>
      </c>
      <c r="B42" s="719"/>
      <c r="C42" s="258"/>
      <c r="D42" s="258"/>
      <c r="F42" s="534"/>
    </row>
    <row r="43" spans="1:9" ht="12" customHeight="1">
      <c r="A43" s="719" t="s">
        <v>96</v>
      </c>
      <c r="B43" s="719"/>
      <c r="C43" s="258"/>
      <c r="D43" s="258"/>
    </row>
    <row r="44" spans="1:9" ht="12" customHeight="1">
      <c r="A44" s="719" t="s">
        <v>109</v>
      </c>
      <c r="B44" s="719"/>
      <c r="C44" s="258"/>
      <c r="D44" s="258"/>
    </row>
    <row r="45" spans="1:9" ht="12" customHeight="1">
      <c r="A45" s="719" t="s">
        <v>110</v>
      </c>
      <c r="B45" s="719"/>
      <c r="C45" s="258"/>
      <c r="D45" s="258"/>
    </row>
    <row r="46" spans="1:9" ht="12" customHeight="1">
      <c r="A46" s="719" t="s">
        <v>108</v>
      </c>
      <c r="B46" s="719"/>
      <c r="C46" s="258"/>
      <c r="D46" s="258"/>
    </row>
    <row r="47" spans="1:9" ht="12" customHeight="1">
      <c r="A47" s="516"/>
      <c r="B47" s="516"/>
      <c r="C47" s="258"/>
      <c r="D47" s="258"/>
    </row>
  </sheetData>
  <mergeCells count="4">
    <mergeCell ref="A1:I1"/>
    <mergeCell ref="A2:I2"/>
    <mergeCell ref="G40:I41"/>
    <mergeCell ref="B11:I11"/>
  </mergeCells>
  <phoneticPr fontId="0" type="noConversion"/>
  <printOptions horizontalCentered="1"/>
  <pageMargins left="0.1" right="0.1" top="0.5" bottom="0.1" header="0.33" footer="0.1"/>
  <pageSetup paperSize="9" orientation="portrait" r:id="rId1"/>
  <headerFooter alignWithMargins="0"/>
</worksheet>
</file>

<file path=xl/worksheets/sheet53.xml><?xml version="1.0" encoding="utf-8"?>
<worksheet xmlns="http://schemas.openxmlformats.org/spreadsheetml/2006/main" xmlns:r="http://schemas.openxmlformats.org/officeDocument/2006/relationships">
  <sheetPr codeName="Sheet63"/>
  <dimension ref="A1:G52"/>
  <sheetViews>
    <sheetView workbookViewId="0">
      <selection activeCell="G47" sqref="G47"/>
    </sheetView>
  </sheetViews>
  <sheetFormatPr defaultRowHeight="12.75"/>
  <cols>
    <col min="1" max="1" width="3.140625" style="172" customWidth="1"/>
    <col min="2" max="2" width="15.42578125" style="172" customWidth="1"/>
    <col min="3" max="3" width="11" style="172" customWidth="1"/>
    <col min="4" max="4" width="12" style="172" customWidth="1"/>
    <col min="5" max="5" width="13.85546875" style="172" customWidth="1"/>
    <col min="6" max="6" width="16.28515625" style="172" customWidth="1"/>
    <col min="7" max="7" width="18.5703125" style="172" customWidth="1"/>
    <col min="8" max="16384" width="9.140625" style="172"/>
  </cols>
  <sheetData>
    <row r="1" spans="1:7" ht="15.75" customHeight="1">
      <c r="A1" s="1181" t="s">
        <v>831</v>
      </c>
      <c r="B1" s="1181"/>
      <c r="C1" s="1181"/>
      <c r="D1" s="1181"/>
      <c r="E1" s="1181"/>
      <c r="F1" s="1181"/>
      <c r="G1" s="1181"/>
    </row>
    <row r="2" spans="1:7" s="206" customFormat="1" ht="18.600000000000001" customHeight="1">
      <c r="A2" s="1189" t="str">
        <f>CONCATENATE("Progress of Co-operative Movement in the district of ",District!A1)</f>
        <v>Progress of Co-operative Movement in the district of Bankura</v>
      </c>
      <c r="B2" s="1189"/>
      <c r="C2" s="1189"/>
      <c r="D2" s="1189"/>
      <c r="E2" s="1189"/>
      <c r="F2" s="1189"/>
      <c r="G2" s="1189"/>
    </row>
    <row r="3" spans="1:7" ht="14.25" customHeight="1">
      <c r="A3" s="1258" t="s">
        <v>212</v>
      </c>
      <c r="B3" s="1259"/>
      <c r="C3" s="1193" t="s">
        <v>1527</v>
      </c>
      <c r="D3" s="1191"/>
      <c r="E3" s="1194" t="s">
        <v>213</v>
      </c>
      <c r="F3" s="1194" t="s">
        <v>214</v>
      </c>
      <c r="G3" s="1194" t="s">
        <v>746</v>
      </c>
    </row>
    <row r="4" spans="1:7" ht="39" customHeight="1">
      <c r="A4" s="1261"/>
      <c r="B4" s="1262"/>
      <c r="C4" s="58" t="s">
        <v>377</v>
      </c>
      <c r="D4" s="58" t="s">
        <v>378</v>
      </c>
      <c r="E4" s="1217"/>
      <c r="F4" s="1217"/>
      <c r="G4" s="1217"/>
    </row>
    <row r="5" spans="1:7" ht="14.25" customHeight="1">
      <c r="A5" s="1382" t="s">
        <v>418</v>
      </c>
      <c r="B5" s="1238"/>
      <c r="C5" s="213" t="s">
        <v>419</v>
      </c>
      <c r="D5" s="213" t="s">
        <v>420</v>
      </c>
      <c r="E5" s="297" t="s">
        <v>421</v>
      </c>
      <c r="F5" s="297" t="s">
        <v>422</v>
      </c>
      <c r="G5" s="163" t="s">
        <v>423</v>
      </c>
    </row>
    <row r="6" spans="1:7" ht="15" customHeight="1">
      <c r="A6" s="340" t="s">
        <v>942</v>
      </c>
      <c r="B6" s="191" t="s">
        <v>387</v>
      </c>
      <c r="C6" s="341"/>
      <c r="D6" s="341"/>
      <c r="E6" s="341"/>
      <c r="F6" s="341"/>
      <c r="G6" s="223"/>
    </row>
    <row r="7" spans="1:7" ht="15" customHeight="1">
      <c r="A7" s="406"/>
      <c r="B7" s="110" t="str">
        <f>District!B16</f>
        <v>2009-10</v>
      </c>
      <c r="C7" s="110">
        <v>1</v>
      </c>
      <c r="D7" s="246">
        <v>1302</v>
      </c>
      <c r="E7" s="246">
        <v>7003881</v>
      </c>
      <c r="F7" s="246">
        <v>2405400</v>
      </c>
      <c r="G7" s="183">
        <v>943536</v>
      </c>
    </row>
    <row r="8" spans="1:7" ht="15" customHeight="1">
      <c r="A8" s="406"/>
      <c r="B8" s="110" t="str">
        <f>District!B17</f>
        <v>2010-11</v>
      </c>
      <c r="C8" s="110">
        <v>1</v>
      </c>
      <c r="D8" s="246">
        <v>1367</v>
      </c>
      <c r="E8" s="246">
        <v>7472334</v>
      </c>
      <c r="F8" s="183">
        <v>3116294</v>
      </c>
      <c r="G8" s="183">
        <v>1165309</v>
      </c>
    </row>
    <row r="9" spans="1:7" ht="15" customHeight="1">
      <c r="A9" s="406"/>
      <c r="B9" s="110" t="str">
        <f>District!B18</f>
        <v>2011-12</v>
      </c>
      <c r="C9" s="110">
        <v>1</v>
      </c>
      <c r="D9" s="246">
        <v>1317</v>
      </c>
      <c r="E9" s="246">
        <v>8419931</v>
      </c>
      <c r="F9" s="183">
        <v>3886458</v>
      </c>
      <c r="G9" s="183">
        <v>1761515</v>
      </c>
    </row>
    <row r="10" spans="1:7" ht="15" customHeight="1">
      <c r="A10" s="406"/>
      <c r="B10" s="110" t="str">
        <f>District!B19</f>
        <v>2012-13</v>
      </c>
      <c r="C10" s="110">
        <v>1</v>
      </c>
      <c r="D10" s="246">
        <v>1310</v>
      </c>
      <c r="E10" s="246">
        <v>9974823</v>
      </c>
      <c r="F10" s="183">
        <v>4648269</v>
      </c>
      <c r="G10" s="183">
        <v>2867908</v>
      </c>
    </row>
    <row r="11" spans="1:7" ht="15" customHeight="1">
      <c r="A11" s="406"/>
      <c r="B11" s="110" t="str">
        <f>District!B20</f>
        <v>2013-14</v>
      </c>
      <c r="C11" s="110">
        <v>1</v>
      </c>
      <c r="D11" s="246">
        <v>1311</v>
      </c>
      <c r="E11" s="246">
        <v>11571678</v>
      </c>
      <c r="F11" s="183">
        <v>5375420</v>
      </c>
      <c r="G11" s="183">
        <v>3261724</v>
      </c>
    </row>
    <row r="12" spans="1:7" ht="15" customHeight="1">
      <c r="A12" s="340" t="s">
        <v>943</v>
      </c>
      <c r="B12" s="535" t="s">
        <v>747</v>
      </c>
      <c r="C12" s="535"/>
      <c r="D12" s="535"/>
      <c r="E12" s="341"/>
      <c r="F12" s="341"/>
      <c r="G12" s="341"/>
    </row>
    <row r="13" spans="1:7" ht="15" customHeight="1">
      <c r="A13" s="406"/>
      <c r="B13" s="110" t="str">
        <f>District!B16</f>
        <v>2009-10</v>
      </c>
      <c r="C13" s="183">
        <v>1</v>
      </c>
      <c r="D13" s="183">
        <v>1986</v>
      </c>
      <c r="E13" s="183">
        <v>399679</v>
      </c>
      <c r="F13" s="183">
        <v>196285</v>
      </c>
      <c r="G13" s="183">
        <v>34311</v>
      </c>
    </row>
    <row r="14" spans="1:7" ht="15" customHeight="1">
      <c r="A14" s="406"/>
      <c r="B14" s="110" t="str">
        <f>District!B17</f>
        <v>2010-11</v>
      </c>
      <c r="C14" s="246">
        <v>1</v>
      </c>
      <c r="D14" s="246">
        <v>2262</v>
      </c>
      <c r="E14" s="246">
        <v>568082</v>
      </c>
      <c r="F14" s="246">
        <v>385099</v>
      </c>
      <c r="G14" s="183">
        <v>9942</v>
      </c>
    </row>
    <row r="15" spans="1:7" ht="15" customHeight="1">
      <c r="A15" s="406"/>
      <c r="B15" s="110" t="str">
        <f>District!B18</f>
        <v>2011-12</v>
      </c>
      <c r="C15" s="246">
        <v>1</v>
      </c>
      <c r="D15" s="246">
        <v>2448</v>
      </c>
      <c r="E15" s="246">
        <v>674166</v>
      </c>
      <c r="F15" s="246">
        <v>102114</v>
      </c>
      <c r="G15" s="183">
        <v>14184</v>
      </c>
    </row>
    <row r="16" spans="1:7" ht="15" customHeight="1">
      <c r="A16" s="406"/>
      <c r="B16" s="110" t="str">
        <f>District!B19</f>
        <v>2012-13</v>
      </c>
      <c r="C16" s="246">
        <v>1</v>
      </c>
      <c r="D16" s="246">
        <v>2448</v>
      </c>
      <c r="E16" s="246">
        <v>674966</v>
      </c>
      <c r="F16" s="246">
        <v>361513</v>
      </c>
      <c r="G16" s="183">
        <v>84033</v>
      </c>
    </row>
    <row r="17" spans="1:7" ht="15" customHeight="1">
      <c r="A17" s="406"/>
      <c r="B17" s="110" t="str">
        <f>District!B20</f>
        <v>2013-14</v>
      </c>
      <c r="C17" s="246">
        <v>1</v>
      </c>
      <c r="D17" s="246">
        <v>2498</v>
      </c>
      <c r="E17" s="246">
        <v>617263</v>
      </c>
      <c r="F17" s="246">
        <v>348688</v>
      </c>
      <c r="G17" s="183">
        <v>58209</v>
      </c>
    </row>
    <row r="18" spans="1:7" ht="15" customHeight="1">
      <c r="A18" s="340" t="s">
        <v>944</v>
      </c>
      <c r="B18" s="535" t="s">
        <v>1408</v>
      </c>
      <c r="C18" s="535"/>
      <c r="D18" s="535"/>
      <c r="E18" s="341"/>
      <c r="F18" s="341"/>
      <c r="G18" s="341"/>
    </row>
    <row r="19" spans="1:7" ht="15" customHeight="1">
      <c r="A19" s="406"/>
      <c r="B19" s="110" t="str">
        <f>District!B16</f>
        <v>2009-10</v>
      </c>
      <c r="C19" s="183">
        <v>323</v>
      </c>
      <c r="D19" s="183">
        <v>276312</v>
      </c>
      <c r="E19" s="183">
        <v>2013765</v>
      </c>
      <c r="F19" s="183">
        <v>1207583</v>
      </c>
      <c r="G19" s="183">
        <v>930427</v>
      </c>
    </row>
    <row r="20" spans="1:7" ht="15" customHeight="1">
      <c r="A20" s="406"/>
      <c r="B20" s="110" t="str">
        <f>District!B17</f>
        <v>2010-11</v>
      </c>
      <c r="C20" s="246">
        <v>333</v>
      </c>
      <c r="D20" s="246">
        <v>311347</v>
      </c>
      <c r="E20" s="246">
        <v>2490622</v>
      </c>
      <c r="F20" s="246">
        <v>1267962</v>
      </c>
      <c r="G20" s="183">
        <v>976948</v>
      </c>
    </row>
    <row r="21" spans="1:7" ht="15" customHeight="1">
      <c r="A21" s="406"/>
      <c r="B21" s="110" t="str">
        <f>District!B18</f>
        <v>2011-12</v>
      </c>
      <c r="C21" s="246">
        <v>335</v>
      </c>
      <c r="D21" s="246">
        <v>318710</v>
      </c>
      <c r="E21" s="246">
        <v>2776309</v>
      </c>
      <c r="F21" s="246">
        <v>1242602</v>
      </c>
      <c r="G21" s="183">
        <v>1006256</v>
      </c>
    </row>
    <row r="22" spans="1:7" ht="15" customHeight="1">
      <c r="A22" s="406"/>
      <c r="B22" s="110" t="str">
        <f>District!B19</f>
        <v>2012-13</v>
      </c>
      <c r="C22" s="246">
        <v>326</v>
      </c>
      <c r="D22" s="246">
        <v>311352</v>
      </c>
      <c r="E22" s="246">
        <v>2288060</v>
      </c>
      <c r="F22" s="246">
        <v>2836087</v>
      </c>
      <c r="G22" s="183">
        <v>2949756</v>
      </c>
    </row>
    <row r="23" spans="1:7" ht="15" customHeight="1">
      <c r="A23" s="406"/>
      <c r="B23" s="110" t="str">
        <f>District!B20</f>
        <v>2013-14</v>
      </c>
      <c r="C23" s="246">
        <v>321</v>
      </c>
      <c r="D23" s="246">
        <v>319610</v>
      </c>
      <c r="E23" s="246">
        <v>5088550</v>
      </c>
      <c r="F23" s="246">
        <v>3263532</v>
      </c>
      <c r="G23" s="183">
        <v>3151629</v>
      </c>
    </row>
    <row r="24" spans="1:7" ht="15" customHeight="1">
      <c r="A24" s="340" t="s">
        <v>945</v>
      </c>
      <c r="B24" s="535" t="s">
        <v>1409</v>
      </c>
      <c r="C24" s="535"/>
      <c r="D24" s="535"/>
      <c r="E24" s="535"/>
      <c r="F24" s="341"/>
      <c r="G24" s="341"/>
    </row>
    <row r="25" spans="1:7" ht="15" customHeight="1">
      <c r="A25" s="406"/>
      <c r="B25" s="110" t="str">
        <f>District!B16</f>
        <v>2009-10</v>
      </c>
      <c r="C25" s="110">
        <v>342</v>
      </c>
      <c r="D25" s="183">
        <v>81515</v>
      </c>
      <c r="E25" s="183">
        <v>1835273</v>
      </c>
      <c r="F25" s="183">
        <v>676527</v>
      </c>
      <c r="G25" s="183">
        <v>599516</v>
      </c>
    </row>
    <row r="26" spans="1:7" ht="15" customHeight="1">
      <c r="A26" s="406"/>
      <c r="B26" s="110" t="str">
        <f>District!B17</f>
        <v>2010-11</v>
      </c>
      <c r="C26" s="110">
        <v>342</v>
      </c>
      <c r="D26" s="226">
        <v>82735</v>
      </c>
      <c r="E26" s="226">
        <v>1865882</v>
      </c>
      <c r="F26" s="226">
        <v>710353</v>
      </c>
      <c r="G26" s="110">
        <v>659467</v>
      </c>
    </row>
    <row r="27" spans="1:7" ht="15" customHeight="1">
      <c r="A27" s="406"/>
      <c r="B27" s="110" t="str">
        <f>District!B18</f>
        <v>2011-12</v>
      </c>
      <c r="C27" s="110">
        <v>343</v>
      </c>
      <c r="D27" s="110">
        <v>83906</v>
      </c>
      <c r="E27" s="110">
        <v>1873152</v>
      </c>
      <c r="F27" s="110">
        <v>701533</v>
      </c>
      <c r="G27" s="110">
        <v>601213</v>
      </c>
    </row>
    <row r="28" spans="1:7" ht="15" customHeight="1">
      <c r="A28" s="406"/>
      <c r="B28" s="110" t="str">
        <f>District!B19</f>
        <v>2012-13</v>
      </c>
      <c r="C28" s="110">
        <v>343</v>
      </c>
      <c r="D28" s="110">
        <v>134343</v>
      </c>
      <c r="E28" s="110">
        <v>1873152</v>
      </c>
      <c r="F28" s="110">
        <v>1252878</v>
      </c>
      <c r="G28" s="110">
        <v>440957</v>
      </c>
    </row>
    <row r="29" spans="1:7" ht="15" customHeight="1">
      <c r="A29" s="406"/>
      <c r="B29" s="110" t="str">
        <f>District!B20</f>
        <v>2013-14</v>
      </c>
      <c r="C29" s="110">
        <v>343</v>
      </c>
      <c r="D29" s="110">
        <v>134343</v>
      </c>
      <c r="E29" s="110">
        <v>1924768</v>
      </c>
      <c r="F29" s="110">
        <v>1273842</v>
      </c>
      <c r="G29" s="110">
        <v>1071286</v>
      </c>
    </row>
    <row r="30" spans="1:7" ht="15" customHeight="1">
      <c r="A30" s="340" t="s">
        <v>946</v>
      </c>
      <c r="B30" s="535" t="s">
        <v>388</v>
      </c>
      <c r="C30" s="535"/>
      <c r="D30" s="535"/>
      <c r="E30" s="535"/>
      <c r="F30" s="341"/>
      <c r="G30" s="341"/>
    </row>
    <row r="31" spans="1:7" ht="15" customHeight="1">
      <c r="A31" s="406"/>
      <c r="B31" s="110" t="str">
        <f>District!B16</f>
        <v>2009-10</v>
      </c>
      <c r="C31" s="183">
        <v>667</v>
      </c>
      <c r="D31" s="183">
        <v>361115</v>
      </c>
      <c r="E31" s="183">
        <v>11252598</v>
      </c>
      <c r="F31" s="183">
        <v>4485795</v>
      </c>
      <c r="G31" s="183">
        <v>2507790</v>
      </c>
    </row>
    <row r="32" spans="1:7" ht="15" customHeight="1">
      <c r="A32" s="406"/>
      <c r="B32" s="110" t="str">
        <f>District!B17</f>
        <v>2010-11</v>
      </c>
      <c r="C32" s="183">
        <v>667</v>
      </c>
      <c r="D32" s="183">
        <v>397711</v>
      </c>
      <c r="E32" s="183">
        <v>12396920</v>
      </c>
      <c r="F32" s="183">
        <v>5479708</v>
      </c>
      <c r="G32" s="183">
        <v>2811666</v>
      </c>
    </row>
    <row r="33" spans="1:7" ht="15" customHeight="1">
      <c r="A33" s="406"/>
      <c r="B33" s="110" t="str">
        <f>District!B18</f>
        <v>2011-12</v>
      </c>
      <c r="C33" s="33">
        <v>680</v>
      </c>
      <c r="D33" s="33">
        <v>406381</v>
      </c>
      <c r="E33" s="33">
        <v>13743558</v>
      </c>
      <c r="F33" s="33">
        <v>5932707</v>
      </c>
      <c r="G33" s="33">
        <v>3383168</v>
      </c>
    </row>
    <row r="34" spans="1:7" ht="15" customHeight="1">
      <c r="A34" s="406"/>
      <c r="B34" s="110" t="str">
        <f>District!B19</f>
        <v>2012-13</v>
      </c>
      <c r="C34" s="33">
        <v>671</v>
      </c>
      <c r="D34" s="33">
        <v>449453</v>
      </c>
      <c r="E34" s="33">
        <v>14811001</v>
      </c>
      <c r="F34" s="33">
        <v>9098747</v>
      </c>
      <c r="G34" s="33">
        <v>6342654</v>
      </c>
    </row>
    <row r="35" spans="1:7" ht="15" customHeight="1">
      <c r="A35" s="406"/>
      <c r="B35" s="110" t="str">
        <f>District!B20</f>
        <v>2013-14</v>
      </c>
      <c r="C35" s="33">
        <f>SUM(C11,C17,C23,C29)</f>
        <v>666</v>
      </c>
      <c r="D35" s="33">
        <f>SUM(D11,D17,D23,D29)</f>
        <v>457762</v>
      </c>
      <c r="E35" s="33">
        <f>SUM(E11,E17,E23,E29)</f>
        <v>19202259</v>
      </c>
      <c r="F35" s="33">
        <v>10261482</v>
      </c>
      <c r="G35" s="33">
        <f>SUM(G11,G17,G23,G29)</f>
        <v>7542848</v>
      </c>
    </row>
    <row r="36" spans="1:7" ht="15" customHeight="1">
      <c r="A36" s="340" t="s">
        <v>947</v>
      </c>
      <c r="B36" s="535" t="s">
        <v>1410</v>
      </c>
      <c r="C36" s="535"/>
      <c r="D36" s="341"/>
      <c r="E36" s="406"/>
      <c r="F36" s="406"/>
      <c r="G36" s="341"/>
    </row>
    <row r="37" spans="1:7" ht="15" customHeight="1">
      <c r="A37" s="406"/>
      <c r="B37" s="110" t="str">
        <f>District!B16</f>
        <v>2009-10</v>
      </c>
      <c r="C37" s="183">
        <v>559</v>
      </c>
      <c r="D37" s="183">
        <v>79120</v>
      </c>
      <c r="E37" s="183">
        <v>224385</v>
      </c>
      <c r="F37" s="183">
        <v>5717</v>
      </c>
      <c r="G37" s="183">
        <v>3045</v>
      </c>
    </row>
    <row r="38" spans="1:7" ht="15" customHeight="1">
      <c r="A38" s="406"/>
      <c r="B38" s="110" t="str">
        <f>District!B17</f>
        <v>2010-11</v>
      </c>
      <c r="C38" s="246">
        <v>566</v>
      </c>
      <c r="D38" s="246">
        <v>80107</v>
      </c>
      <c r="E38" s="246">
        <v>266863</v>
      </c>
      <c r="F38" s="246">
        <v>6288</v>
      </c>
      <c r="G38" s="183">
        <v>3349</v>
      </c>
    </row>
    <row r="39" spans="1:7" ht="15" customHeight="1">
      <c r="A39" s="406"/>
      <c r="B39" s="110" t="str">
        <f>District!B18</f>
        <v>2011-12</v>
      </c>
      <c r="C39" s="246">
        <v>572</v>
      </c>
      <c r="D39" s="246">
        <v>83122</v>
      </c>
      <c r="E39" s="246">
        <v>270639</v>
      </c>
      <c r="F39" s="246">
        <v>7022</v>
      </c>
      <c r="G39" s="183">
        <v>4546</v>
      </c>
    </row>
    <row r="40" spans="1:7" ht="15" customHeight="1">
      <c r="A40" s="406"/>
      <c r="B40" s="110" t="str">
        <f>District!B19</f>
        <v>2012-13</v>
      </c>
      <c r="C40" s="246">
        <v>570</v>
      </c>
      <c r="D40" s="246">
        <v>83122</v>
      </c>
      <c r="E40" s="246">
        <v>275789</v>
      </c>
      <c r="F40" s="246">
        <v>8035</v>
      </c>
      <c r="G40" s="183">
        <v>4933</v>
      </c>
    </row>
    <row r="41" spans="1:7" ht="15" customHeight="1">
      <c r="A41" s="406"/>
      <c r="B41" s="110" t="str">
        <f>District!B20</f>
        <v>2013-14</v>
      </c>
      <c r="C41" s="246">
        <v>570</v>
      </c>
      <c r="D41" s="246">
        <v>84102</v>
      </c>
      <c r="E41" s="246">
        <v>276834</v>
      </c>
      <c r="F41" s="246">
        <v>7934</v>
      </c>
      <c r="G41" s="183">
        <v>4972</v>
      </c>
    </row>
    <row r="42" spans="1:7" ht="15" customHeight="1">
      <c r="A42" s="637" t="s">
        <v>948</v>
      </c>
      <c r="B42" s="535" t="s">
        <v>389</v>
      </c>
      <c r="C42" s="535"/>
      <c r="D42" s="535"/>
      <c r="E42" s="535"/>
      <c r="F42" s="341"/>
      <c r="G42" s="341"/>
    </row>
    <row r="43" spans="1:7" ht="15" customHeight="1">
      <c r="A43" s="406"/>
      <c r="B43" s="110" t="str">
        <f>District!B16</f>
        <v>2009-10</v>
      </c>
      <c r="C43" s="183">
        <v>1226</v>
      </c>
      <c r="D43" s="183">
        <v>440235</v>
      </c>
      <c r="E43" s="183">
        <v>11476983</v>
      </c>
      <c r="F43" s="183">
        <v>4491512</v>
      </c>
      <c r="G43" s="183">
        <v>2510835</v>
      </c>
    </row>
    <row r="44" spans="1:7" ht="15" customHeight="1">
      <c r="A44" s="406"/>
      <c r="B44" s="110" t="str">
        <f>District!B17</f>
        <v>2010-11</v>
      </c>
      <c r="C44" s="33">
        <v>1243</v>
      </c>
      <c r="D44" s="33">
        <v>477818</v>
      </c>
      <c r="E44" s="33">
        <v>12663783</v>
      </c>
      <c r="F44" s="33">
        <v>5485996</v>
      </c>
      <c r="G44" s="33">
        <v>2815015</v>
      </c>
    </row>
    <row r="45" spans="1:7" ht="15" customHeight="1">
      <c r="A45" s="406"/>
      <c r="B45" s="110" t="str">
        <f>District!B18</f>
        <v>2011-12</v>
      </c>
      <c r="C45" s="33">
        <v>1252</v>
      </c>
      <c r="D45" s="33">
        <v>489503</v>
      </c>
      <c r="E45" s="33">
        <v>14014197</v>
      </c>
      <c r="F45" s="33">
        <v>5939729</v>
      </c>
      <c r="G45" s="33">
        <v>3387714</v>
      </c>
    </row>
    <row r="46" spans="1:7" ht="15" customHeight="1">
      <c r="A46" s="406"/>
      <c r="B46" s="110" t="str">
        <f>District!B19</f>
        <v>2012-13</v>
      </c>
      <c r="C46" s="1145">
        <v>1241</v>
      </c>
      <c r="D46" s="1145">
        <v>532575</v>
      </c>
      <c r="E46" s="1145">
        <v>15086790</v>
      </c>
      <c r="F46" s="1145">
        <v>9106782</v>
      </c>
      <c r="G46" s="1145">
        <v>6347587</v>
      </c>
    </row>
    <row r="47" spans="1:7" s="177" customFormat="1" ht="15" customHeight="1">
      <c r="A47" s="487"/>
      <c r="B47" s="251" t="str">
        <f>District!B20</f>
        <v>2013-14</v>
      </c>
      <c r="C47" s="41">
        <f>SUM(C35,C41)</f>
        <v>1236</v>
      </c>
      <c r="D47" s="41">
        <f>SUM(D35,D41)</f>
        <v>541864</v>
      </c>
      <c r="E47" s="41">
        <f>SUM(E35,E41)</f>
        <v>19479093</v>
      </c>
      <c r="F47" s="41">
        <f>SUM(F35,F41)</f>
        <v>10269416</v>
      </c>
      <c r="G47" s="41">
        <f>SUM(G35,G41)</f>
        <v>7547820</v>
      </c>
    </row>
    <row r="48" spans="1:7">
      <c r="B48" s="955"/>
      <c r="C48" s="955"/>
      <c r="D48" s="955"/>
      <c r="E48" s="955"/>
      <c r="F48" s="955"/>
      <c r="G48" s="736" t="s">
        <v>215</v>
      </c>
    </row>
    <row r="49" spans="1:7">
      <c r="A49" s="266"/>
      <c r="B49" s="266"/>
      <c r="C49" s="266"/>
      <c r="D49" s="266"/>
      <c r="E49" s="266"/>
      <c r="F49" s="266"/>
      <c r="G49" s="266"/>
    </row>
    <row r="52" spans="1:7">
      <c r="A52" s="170"/>
      <c r="B52" s="170"/>
      <c r="C52" s="170"/>
      <c r="D52" s="170"/>
      <c r="E52" s="170"/>
      <c r="F52" s="170"/>
      <c r="G52" s="170"/>
    </row>
  </sheetData>
  <mergeCells count="8">
    <mergeCell ref="A1:G1"/>
    <mergeCell ref="C3:D3"/>
    <mergeCell ref="F3:F4"/>
    <mergeCell ref="A5:B5"/>
    <mergeCell ref="A2:G2"/>
    <mergeCell ref="E3:E4"/>
    <mergeCell ref="A3:B4"/>
    <mergeCell ref="G3:G4"/>
  </mergeCells>
  <phoneticPr fontId="0" type="noConversion"/>
  <printOptions horizontalCentered="1"/>
  <pageMargins left="0.15" right="0.1" top="0.5" bottom="0.1" header="0.5" footer="0.1"/>
  <pageSetup paperSize="9" orientation="portrait" r:id="rId1"/>
  <headerFooter alignWithMargins="0"/>
</worksheet>
</file>

<file path=xl/worksheets/sheet54.xml><?xml version="1.0" encoding="utf-8"?>
<worksheet xmlns="http://schemas.openxmlformats.org/spreadsheetml/2006/main" xmlns:r="http://schemas.openxmlformats.org/officeDocument/2006/relationships">
  <sheetPr codeName="Sheet64"/>
  <dimension ref="A1:R34"/>
  <sheetViews>
    <sheetView workbookViewId="0">
      <selection activeCell="N10" sqref="N10"/>
    </sheetView>
  </sheetViews>
  <sheetFormatPr defaultRowHeight="12.75"/>
  <cols>
    <col min="1" max="1" width="14" style="172" customWidth="1"/>
    <col min="2" max="2" width="6.28515625" style="172" customWidth="1"/>
    <col min="3" max="3" width="7.140625" style="172" customWidth="1"/>
    <col min="4" max="4" width="7.42578125" style="172" customWidth="1"/>
    <col min="5" max="5" width="8.28515625" style="172" customWidth="1"/>
    <col min="6" max="6" width="6.140625" style="172" customWidth="1"/>
    <col min="7" max="7" width="7.7109375" style="172" customWidth="1"/>
    <col min="8" max="8" width="7.5703125" style="172" customWidth="1"/>
    <col min="9" max="9" width="7.85546875" style="172" customWidth="1"/>
    <col min="10" max="10" width="6.42578125" style="172" customWidth="1"/>
    <col min="11" max="11" width="7.5703125" style="172" customWidth="1"/>
    <col min="12" max="12" width="7.85546875" style="172" customWidth="1"/>
    <col min="13" max="13" width="8.42578125" style="172" customWidth="1"/>
    <col min="14" max="14" width="6" style="172" customWidth="1"/>
    <col min="15" max="15" width="7.140625" style="172" customWidth="1"/>
    <col min="16" max="16" width="8.85546875" style="172" customWidth="1"/>
    <col min="17" max="17" width="7.85546875" style="172" customWidth="1"/>
    <col min="18" max="18" width="9.7109375" style="172" customWidth="1"/>
    <col min="19" max="16384" width="9.140625" style="172"/>
  </cols>
  <sheetData>
    <row r="1" spans="1:18" ht="13.5" customHeight="1">
      <c r="A1" s="1181" t="s">
        <v>832</v>
      </c>
      <c r="B1" s="1181"/>
      <c r="C1" s="1181"/>
      <c r="D1" s="1181"/>
      <c r="E1" s="1181"/>
      <c r="F1" s="1181"/>
      <c r="G1" s="1181"/>
      <c r="H1" s="1181"/>
      <c r="I1" s="1181"/>
      <c r="J1" s="1181"/>
      <c r="K1" s="1181"/>
      <c r="L1" s="1181"/>
      <c r="M1" s="1181"/>
      <c r="N1" s="1181"/>
      <c r="O1" s="1181"/>
      <c r="P1" s="1181"/>
      <c r="Q1" s="1181"/>
      <c r="R1" s="1181"/>
    </row>
    <row r="2" spans="1:18" s="206" customFormat="1" ht="22.5" customHeight="1">
      <c r="A2" s="1189" t="str">
        <f>CONCATENATE("Progress of Commercial Banking in the district of ",District!A1)</f>
        <v>Progress of Commercial Banking in the district of Bankura</v>
      </c>
      <c r="B2" s="1189"/>
      <c r="C2" s="1189"/>
      <c r="D2" s="1189"/>
      <c r="E2" s="1189"/>
      <c r="F2" s="1189"/>
      <c r="G2" s="1189"/>
      <c r="H2" s="1189"/>
      <c r="I2" s="1189"/>
      <c r="J2" s="1189"/>
      <c r="K2" s="1189"/>
      <c r="L2" s="1189"/>
      <c r="M2" s="1189"/>
      <c r="N2" s="1189"/>
      <c r="O2" s="1189"/>
      <c r="P2" s="1189"/>
      <c r="Q2" s="1189"/>
      <c r="R2" s="1189"/>
    </row>
    <row r="3" spans="1:18" ht="14.25" customHeight="1">
      <c r="A3" s="1194" t="s">
        <v>390</v>
      </c>
      <c r="B3" s="1193" t="s">
        <v>534</v>
      </c>
      <c r="C3" s="1191"/>
      <c r="D3" s="1191"/>
      <c r="E3" s="1192"/>
      <c r="F3" s="1193" t="s">
        <v>1331</v>
      </c>
      <c r="G3" s="1191"/>
      <c r="H3" s="1191"/>
      <c r="I3" s="1192"/>
      <c r="J3" s="1191" t="s">
        <v>1129</v>
      </c>
      <c r="K3" s="1191"/>
      <c r="L3" s="1191"/>
      <c r="M3" s="1191"/>
      <c r="N3" s="1193" t="s">
        <v>439</v>
      </c>
      <c r="O3" s="1191"/>
      <c r="P3" s="1191"/>
      <c r="Q3" s="1192"/>
      <c r="R3" s="1436" t="s">
        <v>1329</v>
      </c>
    </row>
    <row r="4" spans="1:18" ht="44.25" customHeight="1">
      <c r="A4" s="1195"/>
      <c r="B4" s="337" t="s">
        <v>216</v>
      </c>
      <c r="C4" s="779" t="s">
        <v>217</v>
      </c>
      <c r="D4" s="876" t="s">
        <v>218</v>
      </c>
      <c r="E4" s="779" t="s">
        <v>219</v>
      </c>
      <c r="F4" s="337" t="s">
        <v>216</v>
      </c>
      <c r="G4" s="779" t="s">
        <v>217</v>
      </c>
      <c r="H4" s="876" t="s">
        <v>218</v>
      </c>
      <c r="I4" s="779" t="s">
        <v>219</v>
      </c>
      <c r="J4" s="337" t="s">
        <v>216</v>
      </c>
      <c r="K4" s="779" t="s">
        <v>217</v>
      </c>
      <c r="L4" s="876" t="s">
        <v>218</v>
      </c>
      <c r="M4" s="779" t="s">
        <v>219</v>
      </c>
      <c r="N4" s="337" t="s">
        <v>216</v>
      </c>
      <c r="O4" s="779" t="s">
        <v>217</v>
      </c>
      <c r="P4" s="876" t="s">
        <v>218</v>
      </c>
      <c r="Q4" s="779" t="s">
        <v>219</v>
      </c>
      <c r="R4" s="1437"/>
    </row>
    <row r="5" spans="1:18" s="177" customFormat="1" ht="14.25" customHeight="1">
      <c r="A5" s="213" t="s">
        <v>418</v>
      </c>
      <c r="B5" s="221" t="s">
        <v>419</v>
      </c>
      <c r="C5" s="213" t="s">
        <v>420</v>
      </c>
      <c r="D5" s="222" t="s">
        <v>421</v>
      </c>
      <c r="E5" s="213" t="s">
        <v>422</v>
      </c>
      <c r="F5" s="221" t="s">
        <v>423</v>
      </c>
      <c r="G5" s="213" t="s">
        <v>424</v>
      </c>
      <c r="H5" s="222" t="s">
        <v>440</v>
      </c>
      <c r="I5" s="213" t="s">
        <v>441</v>
      </c>
      <c r="J5" s="222" t="s">
        <v>442</v>
      </c>
      <c r="K5" s="213" t="s">
        <v>443</v>
      </c>
      <c r="L5" s="222" t="s">
        <v>537</v>
      </c>
      <c r="M5" s="213" t="s">
        <v>538</v>
      </c>
      <c r="N5" s="221" t="s">
        <v>539</v>
      </c>
      <c r="O5" s="213" t="s">
        <v>540</v>
      </c>
      <c r="P5" s="222" t="s">
        <v>542</v>
      </c>
      <c r="Q5" s="213" t="s">
        <v>543</v>
      </c>
      <c r="R5" s="213" t="s">
        <v>545</v>
      </c>
    </row>
    <row r="6" spans="1:18" s="177" customFormat="1" ht="21" customHeight="1">
      <c r="A6" s="29">
        <f>District!C16</f>
        <v>2010</v>
      </c>
      <c r="B6" s="831">
        <v>152</v>
      </c>
      <c r="C6" s="842">
        <v>2019</v>
      </c>
      <c r="D6" s="831">
        <v>541</v>
      </c>
      <c r="E6" s="72">
        <v>26.8</v>
      </c>
      <c r="F6" s="831">
        <v>12</v>
      </c>
      <c r="G6" s="842">
        <v>453</v>
      </c>
      <c r="H6" s="831">
        <v>120</v>
      </c>
      <c r="I6" s="72">
        <v>26.49</v>
      </c>
      <c r="J6" s="831">
        <v>19</v>
      </c>
      <c r="K6" s="842">
        <v>1119</v>
      </c>
      <c r="L6" s="831">
        <v>198</v>
      </c>
      <c r="M6" s="72">
        <v>17.66</v>
      </c>
      <c r="N6" s="33">
        <v>183</v>
      </c>
      <c r="O6" s="24">
        <v>3591</v>
      </c>
      <c r="P6" s="33">
        <v>859</v>
      </c>
      <c r="Q6" s="72">
        <v>23.91</v>
      </c>
      <c r="R6" s="831">
        <v>20</v>
      </c>
    </row>
    <row r="7" spans="1:18" ht="21" customHeight="1">
      <c r="A7" s="29">
        <f>District!C17</f>
        <v>2011</v>
      </c>
      <c r="B7" s="831">
        <v>155</v>
      </c>
      <c r="C7" s="842">
        <v>2394</v>
      </c>
      <c r="D7" s="831">
        <v>656</v>
      </c>
      <c r="E7" s="72">
        <v>27.4</v>
      </c>
      <c r="F7" s="831">
        <v>14</v>
      </c>
      <c r="G7" s="842">
        <v>570</v>
      </c>
      <c r="H7" s="831">
        <v>118</v>
      </c>
      <c r="I7" s="72">
        <v>20.7</v>
      </c>
      <c r="J7" s="831">
        <v>19</v>
      </c>
      <c r="K7" s="842">
        <v>1349</v>
      </c>
      <c r="L7" s="831">
        <v>233</v>
      </c>
      <c r="M7" s="72">
        <v>17.3</v>
      </c>
      <c r="N7" s="33">
        <v>188</v>
      </c>
      <c r="O7" s="24">
        <v>4313</v>
      </c>
      <c r="P7" s="33">
        <v>1007</v>
      </c>
      <c r="Q7" s="72">
        <v>23.4</v>
      </c>
      <c r="R7" s="831" t="s">
        <v>154</v>
      </c>
    </row>
    <row r="8" spans="1:18" ht="21" customHeight="1">
      <c r="A8" s="29">
        <f>District!C18</f>
        <v>2012</v>
      </c>
      <c r="B8" s="831">
        <v>161</v>
      </c>
      <c r="C8" s="842">
        <v>2900</v>
      </c>
      <c r="D8" s="831">
        <v>809</v>
      </c>
      <c r="E8" s="72">
        <v>27.9</v>
      </c>
      <c r="F8" s="831">
        <v>14</v>
      </c>
      <c r="G8" s="842">
        <v>707</v>
      </c>
      <c r="H8" s="831">
        <v>163</v>
      </c>
      <c r="I8" s="72">
        <v>23.06</v>
      </c>
      <c r="J8" s="831">
        <v>21</v>
      </c>
      <c r="K8" s="842">
        <v>1724</v>
      </c>
      <c r="L8" s="831">
        <v>257</v>
      </c>
      <c r="M8" s="72">
        <v>14.91</v>
      </c>
      <c r="N8" s="33">
        <v>196</v>
      </c>
      <c r="O8" s="24">
        <v>5331</v>
      </c>
      <c r="P8" s="33">
        <v>1229</v>
      </c>
      <c r="Q8" s="72">
        <v>23.05</v>
      </c>
      <c r="R8" s="831" t="s">
        <v>155</v>
      </c>
    </row>
    <row r="9" spans="1:18" ht="21" customHeight="1">
      <c r="A9" s="29">
        <f>District!C19</f>
        <v>2013</v>
      </c>
      <c r="B9" s="831">
        <v>165</v>
      </c>
      <c r="C9" s="842">
        <v>3497</v>
      </c>
      <c r="D9" s="831">
        <v>916</v>
      </c>
      <c r="E9" s="72">
        <f>ROUND(D9/C9*100,2)</f>
        <v>26.19</v>
      </c>
      <c r="F9" s="831">
        <v>16</v>
      </c>
      <c r="G9" s="842">
        <v>850</v>
      </c>
      <c r="H9" s="831">
        <v>183</v>
      </c>
      <c r="I9" s="72">
        <f>ROUND(H9/G9*100,2)</f>
        <v>21.53</v>
      </c>
      <c r="J9" s="831">
        <v>21</v>
      </c>
      <c r="K9" s="842">
        <v>2048</v>
      </c>
      <c r="L9" s="831">
        <v>288</v>
      </c>
      <c r="M9" s="72">
        <f>ROUND(L9/K9*100,2)</f>
        <v>14.06</v>
      </c>
      <c r="N9" s="33">
        <f t="shared" ref="N9:P10" si="0">SUM(B9,F9,J9)</f>
        <v>202</v>
      </c>
      <c r="O9" s="24">
        <f t="shared" si="0"/>
        <v>6395</v>
      </c>
      <c r="P9" s="33">
        <f t="shared" si="0"/>
        <v>1387</v>
      </c>
      <c r="Q9" s="72">
        <f>ROUND(P9/O9*100,2)</f>
        <v>21.69</v>
      </c>
      <c r="R9" s="831" t="str">
        <f>ROUND('2.2'!$D$33/1000/'7.2,7.3'!N9,0)&amp;"*"</f>
        <v>18*</v>
      </c>
    </row>
    <row r="10" spans="1:18" ht="21" customHeight="1">
      <c r="A10" s="41">
        <f>District!C20</f>
        <v>2014</v>
      </c>
      <c r="B10" s="867">
        <v>183</v>
      </c>
      <c r="C10" s="867">
        <v>4274</v>
      </c>
      <c r="D10" s="867">
        <v>1057</v>
      </c>
      <c r="E10" s="71">
        <f>ROUND(D10/C10*100,2)</f>
        <v>24.73</v>
      </c>
      <c r="F10" s="845">
        <v>19</v>
      </c>
      <c r="G10" s="867">
        <v>1056</v>
      </c>
      <c r="H10" s="867">
        <v>209</v>
      </c>
      <c r="I10" s="71">
        <f>ROUND(H10/G10*100,2)</f>
        <v>19.79</v>
      </c>
      <c r="J10" s="845">
        <v>23</v>
      </c>
      <c r="K10" s="867">
        <v>2381</v>
      </c>
      <c r="L10" s="867">
        <v>351</v>
      </c>
      <c r="M10" s="71">
        <f>ROUND(L10/K10*100,2)</f>
        <v>14.74</v>
      </c>
      <c r="N10" s="41">
        <f t="shared" si="0"/>
        <v>225</v>
      </c>
      <c r="O10" s="56">
        <f t="shared" si="0"/>
        <v>7711</v>
      </c>
      <c r="P10" s="41">
        <f t="shared" si="0"/>
        <v>1617</v>
      </c>
      <c r="Q10" s="71">
        <f>ROUND(P10/O10*100,2)</f>
        <v>20.97</v>
      </c>
      <c r="R10" s="831" t="str">
        <f>ROUND('2.2'!$D$33/1000/'7.2,7.3'!N10,0)&amp;"*"</f>
        <v>16*</v>
      </c>
    </row>
    <row r="11" spans="1:18" ht="12.75" customHeight="1">
      <c r="A11" s="703" t="s">
        <v>938</v>
      </c>
      <c r="B11" s="651" t="s">
        <v>1131</v>
      </c>
      <c r="C11" s="651"/>
      <c r="D11" s="651"/>
      <c r="E11" s="651"/>
      <c r="F11" s="651"/>
      <c r="G11" s="651"/>
      <c r="H11" s="651"/>
      <c r="I11" s="651"/>
      <c r="J11" s="2"/>
      <c r="K11" s="2"/>
      <c r="M11" s="721" t="s">
        <v>881</v>
      </c>
      <c r="N11" s="1438" t="s">
        <v>679</v>
      </c>
      <c r="O11" s="1439"/>
      <c r="P11" s="1439"/>
      <c r="Q11" s="1439"/>
      <c r="R11" s="1439"/>
    </row>
    <row r="12" spans="1:18">
      <c r="A12" s="651"/>
      <c r="B12" s="651" t="s">
        <v>1151</v>
      </c>
      <c r="C12" s="651"/>
      <c r="D12" s="651"/>
      <c r="E12" s="651"/>
      <c r="F12" s="651"/>
      <c r="G12" s="651"/>
      <c r="H12" s="651"/>
      <c r="I12" s="651"/>
      <c r="J12" s="2"/>
      <c r="K12" s="2"/>
      <c r="L12" s="540"/>
      <c r="M12" s="884"/>
      <c r="N12" s="1440"/>
      <c r="O12" s="1440"/>
      <c r="P12" s="1440"/>
      <c r="Q12" s="1440"/>
      <c r="R12" s="1440"/>
    </row>
    <row r="13" spans="1:18">
      <c r="A13" s="651"/>
      <c r="B13" s="651" t="s">
        <v>1152</v>
      </c>
      <c r="C13" s="651"/>
      <c r="D13" s="651"/>
      <c r="E13" s="651"/>
      <c r="F13" s="651"/>
      <c r="G13" s="651"/>
      <c r="H13" s="651"/>
      <c r="I13" s="651"/>
      <c r="J13" s="2"/>
      <c r="K13" s="2"/>
      <c r="L13" s="540"/>
      <c r="M13" s="884"/>
      <c r="N13" s="884"/>
      <c r="O13" s="884"/>
      <c r="P13" s="884"/>
      <c r="Q13" s="884"/>
      <c r="R13" s="884"/>
    </row>
    <row r="14" spans="1:18">
      <c r="A14" s="651"/>
      <c r="B14" s="651" t="s">
        <v>1385</v>
      </c>
      <c r="C14" s="651"/>
      <c r="D14" s="651"/>
      <c r="E14" s="651"/>
      <c r="F14" s="651"/>
      <c r="G14" s="651"/>
      <c r="H14" s="651"/>
      <c r="I14" s="651"/>
      <c r="L14" s="2"/>
      <c r="M14" s="2"/>
    </row>
    <row r="15" spans="1:18" ht="13.5">
      <c r="A15" s="872" t="s">
        <v>802</v>
      </c>
      <c r="B15"/>
      <c r="C15"/>
      <c r="D15"/>
      <c r="E15"/>
      <c r="F15"/>
      <c r="G15"/>
      <c r="H15"/>
      <c r="I15"/>
      <c r="L15" s="2"/>
      <c r="M15" s="2"/>
    </row>
    <row r="16" spans="1:18">
      <c r="A16" s="651" t="s">
        <v>1</v>
      </c>
      <c r="B16"/>
      <c r="C16"/>
      <c r="D16"/>
      <c r="E16"/>
      <c r="F16"/>
      <c r="G16"/>
      <c r="H16"/>
      <c r="I16"/>
      <c r="Q16" s="72"/>
    </row>
    <row r="17" spans="1:18" ht="12" customHeight="1">
      <c r="B17" s="651"/>
      <c r="C17" s="2"/>
    </row>
    <row r="18" spans="1:18" ht="13.5" customHeight="1">
      <c r="B18" s="1181" t="s">
        <v>121</v>
      </c>
      <c r="C18" s="1181"/>
      <c r="D18" s="1181"/>
      <c r="E18" s="1181"/>
      <c r="F18" s="1181"/>
      <c r="G18" s="1181"/>
      <c r="H18" s="1181"/>
      <c r="I18" s="1181"/>
      <c r="J18" s="1181"/>
      <c r="K18" s="1181"/>
      <c r="L18" s="1181"/>
      <c r="M18" s="1181"/>
      <c r="N18" s="1181"/>
      <c r="O18" s="1181"/>
      <c r="P18" s="1181"/>
      <c r="Q18" s="1181"/>
      <c r="R18" s="196"/>
    </row>
    <row r="19" spans="1:18" s="206" customFormat="1" ht="18" customHeight="1">
      <c r="A19" s="172"/>
      <c r="B19" s="1399" t="str">
        <f>CONCATENATE("Progress of L.I.C. in the district of ",District!A1)</f>
        <v>Progress of L.I.C. in the district of Bankura</v>
      </c>
      <c r="C19" s="1399"/>
      <c r="D19" s="1399"/>
      <c r="E19" s="1399"/>
      <c r="F19" s="1399"/>
      <c r="G19" s="1399"/>
      <c r="H19" s="1399"/>
      <c r="I19" s="1399"/>
      <c r="J19" s="1399"/>
      <c r="K19" s="1399"/>
      <c r="L19" s="1399"/>
      <c r="M19" s="1399"/>
      <c r="N19" s="1399"/>
      <c r="O19" s="1399"/>
      <c r="P19" s="1399"/>
      <c r="Q19" s="1399"/>
    </row>
    <row r="20" spans="1:18" ht="15.75" customHeight="1">
      <c r="A20" s="288"/>
      <c r="B20" s="1186" t="s">
        <v>304</v>
      </c>
      <c r="C20" s="1187"/>
      <c r="D20" s="1187"/>
      <c r="E20" s="1184"/>
      <c r="F20" s="1193" t="s">
        <v>1153</v>
      </c>
      <c r="G20" s="1191"/>
      <c r="H20" s="1191"/>
      <c r="I20" s="1192"/>
      <c r="J20" s="1193" t="s">
        <v>877</v>
      </c>
      <c r="K20" s="1191"/>
      <c r="L20" s="1191"/>
      <c r="M20" s="1192"/>
      <c r="N20" s="1191" t="s">
        <v>1082</v>
      </c>
      <c r="O20" s="1191"/>
      <c r="P20" s="1191"/>
      <c r="Q20" s="1192"/>
    </row>
    <row r="21" spans="1:18" ht="53.25" customHeight="1">
      <c r="A21" s="177"/>
      <c r="B21" s="1242"/>
      <c r="C21" s="1218"/>
      <c r="D21" s="1218"/>
      <c r="E21" s="1185"/>
      <c r="F21" s="1261" t="s">
        <v>220</v>
      </c>
      <c r="G21" s="1183"/>
      <c r="H21" s="1258" t="s">
        <v>141</v>
      </c>
      <c r="I21" s="1260"/>
      <c r="J21" s="1261" t="s">
        <v>1173</v>
      </c>
      <c r="K21" s="1262"/>
      <c r="L21" s="1258" t="s">
        <v>635</v>
      </c>
      <c r="M21" s="1260"/>
      <c r="N21" s="1262" t="s">
        <v>221</v>
      </c>
      <c r="O21" s="1262"/>
      <c r="P21" s="1258" t="s">
        <v>1332</v>
      </c>
      <c r="Q21" s="1260"/>
    </row>
    <row r="22" spans="1:18" ht="14.25" customHeight="1">
      <c r="A22" s="177"/>
      <c r="B22" s="1201" t="s">
        <v>418</v>
      </c>
      <c r="C22" s="1202"/>
      <c r="D22" s="1202"/>
      <c r="E22" s="1257"/>
      <c r="F22" s="1201" t="s">
        <v>419</v>
      </c>
      <c r="G22" s="1202"/>
      <c r="H22" s="1201" t="s">
        <v>420</v>
      </c>
      <c r="I22" s="1257"/>
      <c r="J22" s="1201" t="s">
        <v>421</v>
      </c>
      <c r="K22" s="1202"/>
      <c r="L22" s="1201" t="s">
        <v>422</v>
      </c>
      <c r="M22" s="1257"/>
      <c r="N22" s="1202" t="s">
        <v>423</v>
      </c>
      <c r="O22" s="1202"/>
      <c r="P22" s="1201" t="s">
        <v>424</v>
      </c>
      <c r="Q22" s="1257"/>
    </row>
    <row r="23" spans="1:18" ht="21" customHeight="1">
      <c r="A23" s="177"/>
      <c r="B23" s="1186" t="str">
        <f>District!B16</f>
        <v>2009-10</v>
      </c>
      <c r="C23" s="1187"/>
      <c r="D23" s="1187"/>
      <c r="E23" s="1184"/>
      <c r="F23" s="1186">
        <v>92261</v>
      </c>
      <c r="G23" s="1184"/>
      <c r="H23" s="1186" t="s">
        <v>906</v>
      </c>
      <c r="I23" s="1184"/>
      <c r="J23" s="1186">
        <v>463158</v>
      </c>
      <c r="K23" s="1184"/>
      <c r="L23" s="1434">
        <v>1675701</v>
      </c>
      <c r="M23" s="1435"/>
      <c r="N23" s="1186" t="s">
        <v>401</v>
      </c>
      <c r="O23" s="1184"/>
      <c r="P23" s="1186" t="s">
        <v>402</v>
      </c>
      <c r="Q23" s="1184"/>
    </row>
    <row r="24" spans="1:18" ht="21" customHeight="1">
      <c r="A24" s="177"/>
      <c r="B24" s="1188" t="str">
        <f>District!B17</f>
        <v>2010-11</v>
      </c>
      <c r="C24" s="1183"/>
      <c r="D24" s="1183"/>
      <c r="E24" s="1200"/>
      <c r="F24" s="1188">
        <v>78654</v>
      </c>
      <c r="G24" s="1200"/>
      <c r="H24" s="1188" t="s">
        <v>906</v>
      </c>
      <c r="I24" s="1200"/>
      <c r="J24" s="1188">
        <v>372278</v>
      </c>
      <c r="K24" s="1200"/>
      <c r="L24" s="1432">
        <v>1492678</v>
      </c>
      <c r="M24" s="1433"/>
      <c r="N24" s="1188">
        <v>7031</v>
      </c>
      <c r="O24" s="1200"/>
      <c r="P24" s="1188">
        <v>42186</v>
      </c>
      <c r="Q24" s="1200"/>
    </row>
    <row r="25" spans="1:18" ht="21" customHeight="1">
      <c r="A25" s="177"/>
      <c r="B25" s="1188" t="str">
        <f>District!B18</f>
        <v>2011-12</v>
      </c>
      <c r="C25" s="1183"/>
      <c r="D25" s="1183"/>
      <c r="E25" s="1200"/>
      <c r="F25" s="1188">
        <v>67169</v>
      </c>
      <c r="G25" s="1200"/>
      <c r="H25" s="1188" t="s">
        <v>906</v>
      </c>
      <c r="I25" s="1200"/>
      <c r="J25" s="1188">
        <v>548720</v>
      </c>
      <c r="K25" s="1200"/>
      <c r="L25" s="1432">
        <v>1779180</v>
      </c>
      <c r="M25" s="1433"/>
      <c r="N25" s="1188" t="s">
        <v>187</v>
      </c>
      <c r="O25" s="1200"/>
      <c r="P25" s="1188" t="s">
        <v>188</v>
      </c>
      <c r="Q25" s="1200"/>
    </row>
    <row r="26" spans="1:18" ht="21" customHeight="1">
      <c r="A26" s="177"/>
      <c r="B26" s="1188" t="str">
        <f>District!B19</f>
        <v>2012-13</v>
      </c>
      <c r="C26" s="1183"/>
      <c r="D26" s="1183"/>
      <c r="E26" s="1200"/>
      <c r="F26" s="1188">
        <v>59057</v>
      </c>
      <c r="G26" s="1200"/>
      <c r="H26" s="1188">
        <v>765.8</v>
      </c>
      <c r="I26" s="1200"/>
      <c r="J26" s="1188">
        <v>682742</v>
      </c>
      <c r="K26" s="1200"/>
      <c r="L26" s="1432">
        <v>1873379</v>
      </c>
      <c r="M26" s="1433"/>
      <c r="N26" s="1188">
        <v>7457</v>
      </c>
      <c r="O26" s="1200"/>
      <c r="P26" s="1188">
        <v>168280</v>
      </c>
      <c r="Q26" s="1200"/>
    </row>
    <row r="27" spans="1:18" ht="21" customHeight="1">
      <c r="A27" s="177"/>
      <c r="B27" s="1242" t="str">
        <f>District!B20</f>
        <v>2013-14</v>
      </c>
      <c r="C27" s="1218"/>
      <c r="D27" s="1218"/>
      <c r="E27" s="1185"/>
      <c r="F27" s="1218">
        <v>75289</v>
      </c>
      <c r="G27" s="1185"/>
      <c r="H27" s="1242">
        <v>951.26</v>
      </c>
      <c r="I27" s="1185"/>
      <c r="J27" s="1242">
        <v>532828</v>
      </c>
      <c r="K27" s="1185"/>
      <c r="L27" s="1441">
        <v>1333365</v>
      </c>
      <c r="M27" s="1442"/>
      <c r="N27" s="1218">
        <v>8134</v>
      </c>
      <c r="O27" s="1185"/>
      <c r="P27" s="1218">
        <v>217003</v>
      </c>
      <c r="Q27" s="1185"/>
    </row>
    <row r="28" spans="1:18" ht="13.5">
      <c r="B28" s="745" t="s">
        <v>1517</v>
      </c>
      <c r="C28" s="18"/>
      <c r="D28" s="18"/>
      <c r="E28" s="18"/>
      <c r="F28" s="872" t="s">
        <v>222</v>
      </c>
      <c r="G28" s="18"/>
      <c r="M28" s="651"/>
      <c r="Q28" s="703" t="s">
        <v>496</v>
      </c>
    </row>
    <row r="31" spans="1:18">
      <c r="F31"/>
      <c r="G31"/>
      <c r="H31"/>
      <c r="I31"/>
      <c r="J31"/>
      <c r="K31"/>
      <c r="L31"/>
      <c r="M31"/>
      <c r="N31"/>
      <c r="O31"/>
      <c r="P31"/>
      <c r="Q31"/>
    </row>
    <row r="32" spans="1:18">
      <c r="F32"/>
      <c r="G32"/>
      <c r="H32"/>
      <c r="I32"/>
      <c r="J32"/>
      <c r="K32"/>
      <c r="L32"/>
      <c r="M32"/>
      <c r="N32"/>
      <c r="O32"/>
      <c r="P32"/>
      <c r="Q32"/>
    </row>
    <row r="33" spans="6:17">
      <c r="F33"/>
      <c r="G33"/>
      <c r="H33"/>
      <c r="I33"/>
      <c r="J33"/>
      <c r="K33"/>
      <c r="L33"/>
      <c r="M33"/>
      <c r="N33"/>
      <c r="O33"/>
      <c r="P33"/>
      <c r="Q33"/>
    </row>
    <row r="34" spans="6:17">
      <c r="F34"/>
      <c r="G34"/>
      <c r="H34"/>
      <c r="I34"/>
      <c r="J34"/>
      <c r="K34"/>
      <c r="L34"/>
      <c r="M34"/>
      <c r="N34"/>
      <c r="O34"/>
      <c r="P34"/>
      <c r="Q34"/>
    </row>
  </sheetData>
  <mergeCells count="63">
    <mergeCell ref="B23:E23"/>
    <mergeCell ref="F26:G26"/>
    <mergeCell ref="B24:E24"/>
    <mergeCell ref="B25:E25"/>
    <mergeCell ref="F25:G25"/>
    <mergeCell ref="A3:A4"/>
    <mergeCell ref="P27:Q27"/>
    <mergeCell ref="H27:I27"/>
    <mergeCell ref="P26:Q26"/>
    <mergeCell ref="N26:O26"/>
    <mergeCell ref="L26:M26"/>
    <mergeCell ref="J26:K26"/>
    <mergeCell ref="J27:K27"/>
    <mergeCell ref="L27:M27"/>
    <mergeCell ref="H26:I26"/>
    <mergeCell ref="N27:O27"/>
    <mergeCell ref="B27:E27"/>
    <mergeCell ref="F27:G27"/>
    <mergeCell ref="B26:E26"/>
    <mergeCell ref="F23:G23"/>
    <mergeCell ref="F24:G24"/>
    <mergeCell ref="H22:I22"/>
    <mergeCell ref="A1:R1"/>
    <mergeCell ref="B18:Q18"/>
    <mergeCell ref="N20:Q20"/>
    <mergeCell ref="J20:M20"/>
    <mergeCell ref="F20:I20"/>
    <mergeCell ref="B20:E21"/>
    <mergeCell ref="R3:R4"/>
    <mergeCell ref="H21:I21"/>
    <mergeCell ref="F21:G21"/>
    <mergeCell ref="A2:R2"/>
    <mergeCell ref="F3:I3"/>
    <mergeCell ref="J3:M3"/>
    <mergeCell ref="N3:Q3"/>
    <mergeCell ref="N11:R12"/>
    <mergeCell ref="B19:Q19"/>
    <mergeCell ref="J24:K24"/>
    <mergeCell ref="J23:K23"/>
    <mergeCell ref="N22:O22"/>
    <mergeCell ref="P21:Q21"/>
    <mergeCell ref="L22:M22"/>
    <mergeCell ref="J21:K21"/>
    <mergeCell ref="L21:M21"/>
    <mergeCell ref="J22:K22"/>
    <mergeCell ref="P22:Q22"/>
    <mergeCell ref="N21:O21"/>
    <mergeCell ref="B3:E3"/>
    <mergeCell ref="B22:E22"/>
    <mergeCell ref="F22:G22"/>
    <mergeCell ref="P25:Q25"/>
    <mergeCell ref="P24:Q24"/>
    <mergeCell ref="N23:O23"/>
    <mergeCell ref="N24:O24"/>
    <mergeCell ref="L24:M24"/>
    <mergeCell ref="L23:M23"/>
    <mergeCell ref="P23:Q23"/>
    <mergeCell ref="N25:O25"/>
    <mergeCell ref="L25:M25"/>
    <mergeCell ref="H25:I25"/>
    <mergeCell ref="J25:K25"/>
    <mergeCell ref="H23:I23"/>
    <mergeCell ref="H24:I24"/>
  </mergeCells>
  <phoneticPr fontId="0" type="noConversion"/>
  <conditionalFormatting sqref="A1:E1048576 R1:IV1048576 F35:Q65536 F1:Q30">
    <cfRule type="cellIs" dxfId="8" priority="1" stopIfTrue="1" operator="equal">
      <formula>".."</formula>
    </cfRule>
  </conditionalFormatting>
  <printOptions horizontalCentered="1"/>
  <pageMargins left="0.14000000000000001" right="0.1" top="0.47" bottom="0.14000000000000001" header="0.37" footer="0.1"/>
  <pageSetup paperSize="9" orientation="landscape" r:id="rId1"/>
  <headerFooter alignWithMargins="0"/>
</worksheet>
</file>

<file path=xl/worksheets/sheet55.xml><?xml version="1.0" encoding="utf-8"?>
<worksheet xmlns="http://schemas.openxmlformats.org/spreadsheetml/2006/main" xmlns:r="http://schemas.openxmlformats.org/officeDocument/2006/relationships">
  <sheetPr codeName="Sheet48"/>
  <dimension ref="A1:P66"/>
  <sheetViews>
    <sheetView workbookViewId="0">
      <selection activeCell="M30" sqref="M30"/>
    </sheetView>
  </sheetViews>
  <sheetFormatPr defaultRowHeight="12.75"/>
  <cols>
    <col min="1" max="1" width="17.85546875" customWidth="1"/>
    <col min="2" max="6" width="14.140625" customWidth="1"/>
  </cols>
  <sheetData>
    <row r="1" spans="1:16" ht="14.25" customHeight="1">
      <c r="A1" s="1450" t="s">
        <v>833</v>
      </c>
      <c r="B1" s="1450"/>
      <c r="C1" s="1450"/>
      <c r="D1" s="1450"/>
      <c r="E1" s="1450"/>
      <c r="F1" s="1450"/>
    </row>
    <row r="2" spans="1:16" ht="32.25" customHeight="1">
      <c r="A2" s="1454" t="s">
        <v>1194</v>
      </c>
      <c r="B2" s="1454"/>
      <c r="C2" s="1454"/>
      <c r="D2" s="1454"/>
      <c r="E2" s="1454"/>
      <c r="F2" s="1454"/>
    </row>
    <row r="3" spans="1:16" s="656" customFormat="1" ht="12" customHeight="1">
      <c r="C3" s="657"/>
      <c r="F3" s="975" t="s">
        <v>452</v>
      </c>
    </row>
    <row r="4" spans="1:16" ht="16.5" customHeight="1">
      <c r="A4" s="1455" t="s">
        <v>304</v>
      </c>
      <c r="B4" s="1456"/>
      <c r="C4" s="1461" t="s">
        <v>305</v>
      </c>
      <c r="D4" s="1461"/>
      <c r="E4" s="1462" t="s">
        <v>1174</v>
      </c>
      <c r="F4" s="1462"/>
      <c r="K4" s="4"/>
      <c r="L4" s="4"/>
      <c r="M4" s="4"/>
      <c r="N4" s="4"/>
      <c r="O4" s="4"/>
      <c r="P4" s="4"/>
    </row>
    <row r="5" spans="1:16" ht="16.5" customHeight="1">
      <c r="A5" s="1457"/>
      <c r="B5" s="1458"/>
      <c r="C5" s="658" t="s">
        <v>1425</v>
      </c>
      <c r="D5" s="658" t="s">
        <v>1426</v>
      </c>
      <c r="E5" s="658" t="s">
        <v>1425</v>
      </c>
      <c r="F5" s="659" t="s">
        <v>1426</v>
      </c>
      <c r="K5" s="4"/>
      <c r="L5" s="4"/>
      <c r="M5" s="4"/>
      <c r="N5" s="4"/>
      <c r="O5" s="4"/>
      <c r="P5" s="4"/>
    </row>
    <row r="6" spans="1:16" ht="16.5" customHeight="1">
      <c r="A6" s="1459" t="s">
        <v>418</v>
      </c>
      <c r="B6" s="1460"/>
      <c r="C6" s="660" t="s">
        <v>419</v>
      </c>
      <c r="D6" s="660" t="s">
        <v>420</v>
      </c>
      <c r="E6" s="660" t="s">
        <v>421</v>
      </c>
      <c r="F6" s="661" t="s">
        <v>422</v>
      </c>
      <c r="K6" s="4"/>
      <c r="L6" s="4"/>
      <c r="M6" s="4"/>
      <c r="N6" s="4"/>
      <c r="O6" s="4"/>
      <c r="P6" s="4"/>
    </row>
    <row r="7" spans="1:16" ht="22.5" customHeight="1">
      <c r="A7" s="1452" t="str">
        <f>District!B16</f>
        <v>2009-10</v>
      </c>
      <c r="B7" s="1453"/>
      <c r="C7" s="662">
        <v>271</v>
      </c>
      <c r="D7" s="223">
        <v>1381</v>
      </c>
      <c r="E7" s="192">
        <v>1806</v>
      </c>
      <c r="F7" s="223">
        <v>11172</v>
      </c>
      <c r="G7" s="189"/>
      <c r="K7" s="4"/>
      <c r="L7" s="4"/>
      <c r="M7" s="4"/>
      <c r="N7" s="4"/>
      <c r="O7" s="4"/>
      <c r="P7" s="4"/>
    </row>
    <row r="8" spans="1:16" ht="22.5" customHeight="1">
      <c r="A8" s="1443" t="str">
        <f>District!B17</f>
        <v>2010-11</v>
      </c>
      <c r="B8" s="1444"/>
      <c r="C8" s="663">
        <v>185</v>
      </c>
      <c r="D8" s="183">
        <v>1566</v>
      </c>
      <c r="E8" s="184">
        <v>1840</v>
      </c>
      <c r="F8" s="183">
        <v>13012</v>
      </c>
      <c r="G8" s="189"/>
      <c r="K8" s="4"/>
      <c r="L8" s="4"/>
      <c r="M8" s="4"/>
      <c r="N8" s="4"/>
      <c r="O8" s="4"/>
      <c r="P8" s="4"/>
    </row>
    <row r="9" spans="1:16" ht="22.5" customHeight="1">
      <c r="A9" s="1443" t="str">
        <f>District!B18</f>
        <v>2011-12</v>
      </c>
      <c r="B9" s="1444"/>
      <c r="C9" s="663">
        <v>422</v>
      </c>
      <c r="D9" s="183">
        <v>1988</v>
      </c>
      <c r="E9" s="184">
        <v>3561</v>
      </c>
      <c r="F9" s="183">
        <v>16573</v>
      </c>
      <c r="G9" s="189"/>
      <c r="K9" s="4"/>
      <c r="L9" s="4"/>
      <c r="M9" s="4"/>
      <c r="N9" s="4"/>
      <c r="O9" s="4"/>
      <c r="P9" s="4"/>
    </row>
    <row r="10" spans="1:16" ht="22.5" customHeight="1">
      <c r="A10" s="1443" t="str">
        <f>District!B19</f>
        <v>2012-13</v>
      </c>
      <c r="B10" s="1444"/>
      <c r="C10" s="663">
        <v>415</v>
      </c>
      <c r="D10" s="183">
        <v>2403</v>
      </c>
      <c r="E10" s="184">
        <v>2829</v>
      </c>
      <c r="F10" s="183">
        <v>19402</v>
      </c>
      <c r="G10" s="189"/>
      <c r="H10" s="536"/>
      <c r="I10" s="536"/>
      <c r="K10" s="4"/>
      <c r="L10" s="4"/>
      <c r="M10" s="4"/>
      <c r="N10" s="4"/>
      <c r="O10" s="4"/>
      <c r="P10" s="4"/>
    </row>
    <row r="11" spans="1:16" ht="22.5" customHeight="1">
      <c r="A11" s="1445" t="str">
        <f>District!B20</f>
        <v>2013-14</v>
      </c>
      <c r="B11" s="1446"/>
      <c r="C11" s="664">
        <v>235</v>
      </c>
      <c r="D11" s="248">
        <v>2638</v>
      </c>
      <c r="E11" s="194">
        <v>1719</v>
      </c>
      <c r="F11" s="248">
        <v>21121</v>
      </c>
      <c r="G11" s="189"/>
      <c r="H11" s="536"/>
      <c r="I11" s="536"/>
      <c r="K11" s="4"/>
      <c r="L11" s="4"/>
      <c r="M11" s="4"/>
      <c r="N11" s="4"/>
      <c r="O11" s="4"/>
      <c r="P11" s="4"/>
    </row>
    <row r="12" spans="1:16" ht="25.5" customHeight="1">
      <c r="D12" s="721" t="s">
        <v>526</v>
      </c>
      <c r="E12" s="1447" t="s">
        <v>1427</v>
      </c>
      <c r="F12" s="1447"/>
    </row>
    <row r="13" spans="1:16" ht="12.95" customHeight="1">
      <c r="A13" s="655"/>
      <c r="B13" s="655"/>
      <c r="C13" s="655"/>
      <c r="D13" s="655"/>
      <c r="E13" s="655"/>
      <c r="F13" s="665"/>
    </row>
    <row r="14" spans="1:16">
      <c r="A14" s="1450" t="s">
        <v>834</v>
      </c>
      <c r="B14" s="1450"/>
      <c r="C14" s="1450"/>
      <c r="D14" s="1450"/>
      <c r="E14" s="1450"/>
      <c r="F14" s="1450"/>
    </row>
    <row r="15" spans="1:16" ht="14.25" customHeight="1">
      <c r="A15" s="1451" t="str">
        <f>CONCATENATE(" Mouzas Electrified in the district of ",District!A1)</f>
        <v xml:space="preserve"> Mouzas Electrified in the district of Bankura</v>
      </c>
      <c r="B15" s="1451"/>
      <c r="C15" s="1451"/>
      <c r="D15" s="1451"/>
      <c r="E15" s="1451"/>
      <c r="F15" s="1451"/>
    </row>
    <row r="16" spans="1:16">
      <c r="A16" s="666"/>
      <c r="B16" s="667"/>
      <c r="C16" s="667"/>
      <c r="D16" s="667"/>
      <c r="E16" s="667"/>
      <c r="F16" s="974" t="s">
        <v>452</v>
      </c>
    </row>
    <row r="17" spans="1:9" ht="14.25" customHeight="1">
      <c r="A17" s="1194" t="s">
        <v>1428</v>
      </c>
      <c r="B17" s="1448" t="s">
        <v>851</v>
      </c>
      <c r="C17" s="1448"/>
      <c r="D17" s="1448"/>
      <c r="E17" s="1448"/>
      <c r="F17" s="1449"/>
    </row>
    <row r="18" spans="1:9" ht="14.25" customHeight="1">
      <c r="A18" s="1208"/>
      <c r="B18" s="58">
        <f>District!B10</f>
        <v>2010</v>
      </c>
      <c r="C18" s="39">
        <f>District!C10</f>
        <v>2011</v>
      </c>
      <c r="D18" s="58">
        <f>District!D10</f>
        <v>2012</v>
      </c>
      <c r="E18" s="39">
        <f>District!E10</f>
        <v>2013</v>
      </c>
      <c r="F18" s="39">
        <f>District!F10</f>
        <v>2014</v>
      </c>
    </row>
    <row r="19" spans="1:9" ht="14.25" customHeight="1">
      <c r="A19" s="668" t="s">
        <v>418</v>
      </c>
      <c r="B19" s="668" t="s">
        <v>419</v>
      </c>
      <c r="C19" s="668" t="s">
        <v>420</v>
      </c>
      <c r="D19" s="668" t="s">
        <v>421</v>
      </c>
      <c r="E19" s="668" t="s">
        <v>422</v>
      </c>
      <c r="F19" s="669" t="s">
        <v>423</v>
      </c>
    </row>
    <row r="20" spans="1:9" s="172" customFormat="1" ht="15.75" customHeight="1">
      <c r="A20" s="45" t="s">
        <v>1077</v>
      </c>
      <c r="B20" s="65">
        <f>SUM(B21:B28)</f>
        <v>1391</v>
      </c>
      <c r="C20" s="158">
        <f>SUM(C21:C28)</f>
        <v>1393</v>
      </c>
      <c r="D20" s="158">
        <f>SUM(D21:D28)</f>
        <v>1393</v>
      </c>
      <c r="E20" s="158">
        <f>SUM(E21:E28)</f>
        <v>1393</v>
      </c>
      <c r="F20" s="158">
        <f>SUM(F21:F28)</f>
        <v>1393</v>
      </c>
      <c r="H20" s="272"/>
    </row>
    <row r="21" spans="1:9" s="172" customFormat="1" ht="15.75" customHeight="1">
      <c r="A21" s="76" t="s">
        <v>596</v>
      </c>
      <c r="B21" s="183">
        <v>147</v>
      </c>
      <c r="C21" s="183">
        <v>147</v>
      </c>
      <c r="D21" s="183">
        <v>147</v>
      </c>
      <c r="E21" s="183">
        <v>147</v>
      </c>
      <c r="F21" s="183">
        <v>147</v>
      </c>
      <c r="H21" s="272"/>
    </row>
    <row r="22" spans="1:9" s="172" customFormat="1" ht="15.75" customHeight="1">
      <c r="A22" s="76" t="s">
        <v>595</v>
      </c>
      <c r="B22" s="183">
        <v>144</v>
      </c>
      <c r="C22" s="183">
        <v>144</v>
      </c>
      <c r="D22" s="183">
        <v>144</v>
      </c>
      <c r="E22" s="183">
        <v>144</v>
      </c>
      <c r="F22" s="183">
        <v>144</v>
      </c>
    </row>
    <row r="23" spans="1:9" s="172" customFormat="1" ht="15.75" customHeight="1">
      <c r="A23" s="76" t="s">
        <v>597</v>
      </c>
      <c r="B23" s="183">
        <v>276</v>
      </c>
      <c r="C23" s="184">
        <v>276</v>
      </c>
      <c r="D23" s="184">
        <v>276</v>
      </c>
      <c r="E23" s="183">
        <v>276</v>
      </c>
      <c r="F23" s="183">
        <v>276</v>
      </c>
    </row>
    <row r="24" spans="1:9" s="172" customFormat="1" ht="15.75" customHeight="1">
      <c r="A24" s="76" t="s">
        <v>598</v>
      </c>
      <c r="B24" s="183">
        <v>144</v>
      </c>
      <c r="C24" s="184">
        <v>146</v>
      </c>
      <c r="D24" s="184">
        <v>146</v>
      </c>
      <c r="E24" s="183">
        <v>146</v>
      </c>
      <c r="F24" s="183">
        <v>146</v>
      </c>
    </row>
    <row r="25" spans="1:9" s="172" customFormat="1" ht="15.75" customHeight="1">
      <c r="A25" s="76" t="s">
        <v>599</v>
      </c>
      <c r="B25" s="183">
        <v>72</v>
      </c>
      <c r="C25" s="184">
        <v>72</v>
      </c>
      <c r="D25" s="184">
        <v>72</v>
      </c>
      <c r="E25" s="183">
        <v>72</v>
      </c>
      <c r="F25" s="183">
        <v>72</v>
      </c>
    </row>
    <row r="26" spans="1:9" s="172" customFormat="1" ht="15.75" customHeight="1">
      <c r="A26" s="76" t="s">
        <v>771</v>
      </c>
      <c r="B26" s="183">
        <v>155</v>
      </c>
      <c r="C26" s="184">
        <v>155</v>
      </c>
      <c r="D26" s="184">
        <v>155</v>
      </c>
      <c r="E26" s="183">
        <v>155</v>
      </c>
      <c r="F26" s="183">
        <v>155</v>
      </c>
    </row>
    <row r="27" spans="1:9" s="172" customFormat="1" ht="15.75" customHeight="1">
      <c r="A27" s="76" t="s">
        <v>600</v>
      </c>
      <c r="B27" s="183">
        <v>184</v>
      </c>
      <c r="C27" s="184">
        <v>184</v>
      </c>
      <c r="D27" s="184">
        <v>184</v>
      </c>
      <c r="E27" s="183">
        <v>184</v>
      </c>
      <c r="F27" s="183">
        <v>184</v>
      </c>
    </row>
    <row r="28" spans="1:9" s="172" customFormat="1" ht="15.75" customHeight="1">
      <c r="A28" s="76" t="s">
        <v>602</v>
      </c>
      <c r="B28" s="183">
        <v>269</v>
      </c>
      <c r="C28" s="184">
        <v>269</v>
      </c>
      <c r="D28" s="184">
        <v>269</v>
      </c>
      <c r="E28" s="183">
        <v>269</v>
      </c>
      <c r="F28" s="183">
        <v>269</v>
      </c>
    </row>
    <row r="29" spans="1:9" s="172" customFormat="1" ht="15.75" customHeight="1">
      <c r="A29" s="45" t="s">
        <v>273</v>
      </c>
      <c r="B29" s="34">
        <f>SUM(B30:B37)</f>
        <v>1294</v>
      </c>
      <c r="C29" s="28">
        <f>SUM(C30:C37)</f>
        <v>1309</v>
      </c>
      <c r="D29" s="28">
        <f>SUM(D30:D37)</f>
        <v>1309</v>
      </c>
      <c r="E29" s="28">
        <f>SUM(E30:E37)</f>
        <v>1309</v>
      </c>
      <c r="F29" s="28">
        <f>SUM(F30:F37)</f>
        <v>1309</v>
      </c>
    </row>
    <row r="30" spans="1:9" s="172" customFormat="1" ht="15.75" customHeight="1">
      <c r="A30" s="76" t="s">
        <v>605</v>
      </c>
      <c r="B30" s="183">
        <v>196</v>
      </c>
      <c r="C30" s="184">
        <v>197</v>
      </c>
      <c r="D30" s="184">
        <v>197</v>
      </c>
      <c r="E30" s="183">
        <v>197</v>
      </c>
      <c r="F30" s="183">
        <v>197</v>
      </c>
    </row>
    <row r="31" spans="1:9" s="172" customFormat="1" ht="15.75" customHeight="1">
      <c r="A31" s="76" t="s">
        <v>604</v>
      </c>
      <c r="B31" s="183">
        <v>147</v>
      </c>
      <c r="C31" s="183">
        <v>148</v>
      </c>
      <c r="D31" s="183">
        <v>148</v>
      </c>
      <c r="E31" s="183">
        <v>148</v>
      </c>
      <c r="F31" s="183">
        <v>148</v>
      </c>
    </row>
    <row r="32" spans="1:9" s="172" customFormat="1" ht="15.75" customHeight="1">
      <c r="A32" s="76" t="s">
        <v>368</v>
      </c>
      <c r="B32" s="183">
        <v>115</v>
      </c>
      <c r="C32" s="183">
        <v>116</v>
      </c>
      <c r="D32" s="183">
        <v>116</v>
      </c>
      <c r="E32" s="183">
        <v>116</v>
      </c>
      <c r="F32" s="183">
        <v>116</v>
      </c>
      <c r="I32" s="520"/>
    </row>
    <row r="33" spans="1:7" s="172" customFormat="1" ht="15.75" customHeight="1">
      <c r="A33" s="76" t="s">
        <v>606</v>
      </c>
      <c r="B33" s="183">
        <v>161</v>
      </c>
      <c r="C33" s="184">
        <v>169</v>
      </c>
      <c r="D33" s="183">
        <v>169</v>
      </c>
      <c r="E33" s="183">
        <v>169</v>
      </c>
      <c r="F33" s="183">
        <v>169</v>
      </c>
    </row>
    <row r="34" spans="1:7" s="172" customFormat="1" ht="15.75" customHeight="1">
      <c r="A34" s="76" t="s">
        <v>347</v>
      </c>
      <c r="B34" s="183">
        <v>141</v>
      </c>
      <c r="C34" s="184">
        <v>141</v>
      </c>
      <c r="D34" s="183">
        <v>141</v>
      </c>
      <c r="E34" s="183">
        <v>141</v>
      </c>
      <c r="F34" s="183">
        <v>141</v>
      </c>
    </row>
    <row r="35" spans="1:7" s="172" customFormat="1" ht="15.75" customHeight="1">
      <c r="A35" s="76" t="s">
        <v>369</v>
      </c>
      <c r="B35" s="183">
        <v>190</v>
      </c>
      <c r="C35" s="184">
        <v>190</v>
      </c>
      <c r="D35" s="183">
        <v>190</v>
      </c>
      <c r="E35" s="183">
        <v>190</v>
      </c>
      <c r="F35" s="183">
        <v>190</v>
      </c>
    </row>
    <row r="36" spans="1:7" s="172" customFormat="1" ht="15.75" customHeight="1">
      <c r="A36" s="76" t="s">
        <v>349</v>
      </c>
      <c r="B36" s="183">
        <v>194</v>
      </c>
      <c r="C36" s="183">
        <v>197</v>
      </c>
      <c r="D36" s="183">
        <v>197</v>
      </c>
      <c r="E36" s="183">
        <v>197</v>
      </c>
      <c r="F36" s="183">
        <v>197</v>
      </c>
    </row>
    <row r="37" spans="1:7" s="172" customFormat="1" ht="15.75" customHeight="1">
      <c r="A37" s="76" t="s">
        <v>370</v>
      </c>
      <c r="B37" s="183">
        <v>150</v>
      </c>
      <c r="C37" s="183">
        <v>151</v>
      </c>
      <c r="D37" s="183">
        <v>151</v>
      </c>
      <c r="E37" s="183">
        <v>151</v>
      </c>
      <c r="F37" s="183">
        <v>151</v>
      </c>
    </row>
    <row r="38" spans="1:7" s="172" customFormat="1" ht="15.75" customHeight="1">
      <c r="A38" s="45" t="s">
        <v>372</v>
      </c>
      <c r="B38" s="34">
        <f>SUM(B39:B44)</f>
        <v>892</v>
      </c>
      <c r="C38" s="28">
        <f>SUM(C39:C44)</f>
        <v>892</v>
      </c>
      <c r="D38" s="28">
        <f>SUM(D39:D44)</f>
        <v>892</v>
      </c>
      <c r="E38" s="28">
        <f>SUM(E39:E44)</f>
        <v>892</v>
      </c>
      <c r="F38" s="28">
        <f>SUM(F39:F44)</f>
        <v>892</v>
      </c>
    </row>
    <row r="39" spans="1:7" s="172" customFormat="1" ht="15.75" customHeight="1">
      <c r="A39" s="76" t="s">
        <v>350</v>
      </c>
      <c r="B39" s="183">
        <v>149</v>
      </c>
      <c r="C39" s="184">
        <v>149</v>
      </c>
      <c r="D39" s="183">
        <v>149</v>
      </c>
      <c r="E39" s="183">
        <v>149</v>
      </c>
      <c r="F39" s="183">
        <v>149</v>
      </c>
      <c r="G39" s="177"/>
    </row>
    <row r="40" spans="1:7" s="172" customFormat="1" ht="15.75" customHeight="1">
      <c r="A40" s="76" t="s">
        <v>351</v>
      </c>
      <c r="B40" s="183">
        <v>137</v>
      </c>
      <c r="C40" s="184">
        <v>137</v>
      </c>
      <c r="D40" s="183">
        <v>137</v>
      </c>
      <c r="E40" s="183">
        <v>137</v>
      </c>
      <c r="F40" s="183">
        <v>137</v>
      </c>
      <c r="G40" s="177"/>
    </row>
    <row r="41" spans="1:7" s="172" customFormat="1" ht="15.75" customHeight="1">
      <c r="A41" s="76" t="s">
        <v>352</v>
      </c>
      <c r="B41" s="183">
        <v>166</v>
      </c>
      <c r="C41" s="184">
        <v>166</v>
      </c>
      <c r="D41" s="183">
        <v>166</v>
      </c>
      <c r="E41" s="183">
        <v>166</v>
      </c>
      <c r="F41" s="183">
        <v>166</v>
      </c>
      <c r="G41" s="177"/>
    </row>
    <row r="42" spans="1:7" s="172" customFormat="1" ht="15.75" customHeight="1">
      <c r="A42" s="76" t="s">
        <v>353</v>
      </c>
      <c r="B42" s="183">
        <v>161</v>
      </c>
      <c r="C42" s="184">
        <v>161</v>
      </c>
      <c r="D42" s="183">
        <v>161</v>
      </c>
      <c r="E42" s="183">
        <v>161</v>
      </c>
      <c r="F42" s="183">
        <v>161</v>
      </c>
      <c r="G42" s="177"/>
    </row>
    <row r="43" spans="1:7" s="172" customFormat="1" ht="15.75" customHeight="1">
      <c r="A43" s="76" t="s">
        <v>354</v>
      </c>
      <c r="B43" s="183">
        <v>150</v>
      </c>
      <c r="C43" s="184">
        <v>150</v>
      </c>
      <c r="D43" s="183">
        <v>150</v>
      </c>
      <c r="E43" s="183">
        <v>150</v>
      </c>
      <c r="F43" s="183">
        <v>150</v>
      </c>
      <c r="G43" s="177"/>
    </row>
    <row r="44" spans="1:7" s="172" customFormat="1" ht="15.75" customHeight="1">
      <c r="A44" s="568" t="s">
        <v>355</v>
      </c>
      <c r="B44" s="248">
        <v>129</v>
      </c>
      <c r="C44" s="184">
        <v>129</v>
      </c>
      <c r="D44" s="183">
        <v>129</v>
      </c>
      <c r="E44" s="248">
        <v>129</v>
      </c>
      <c r="F44" s="248">
        <v>129</v>
      </c>
      <c r="G44" s="177"/>
    </row>
    <row r="45" spans="1:7" s="172" customFormat="1" ht="15.75" customHeight="1">
      <c r="A45" s="209" t="s">
        <v>439</v>
      </c>
      <c r="B45" s="179">
        <f>SUM(B20,B29,B38)</f>
        <v>3577</v>
      </c>
      <c r="C45" s="180">
        <f>SUM(C20,C29,C38)</f>
        <v>3594</v>
      </c>
      <c r="D45" s="180">
        <f>SUM(D20,D29,D38)</f>
        <v>3594</v>
      </c>
      <c r="E45" s="180">
        <f>SUM(E20,E29,E38)</f>
        <v>3594</v>
      </c>
      <c r="F45" s="180">
        <f>SUM(F20,F29,F38)</f>
        <v>3594</v>
      </c>
    </row>
    <row r="46" spans="1:7" ht="14.1" customHeight="1">
      <c r="A46" s="672"/>
      <c r="B46" s="99"/>
      <c r="C46" s="651"/>
      <c r="D46" s="967"/>
      <c r="E46" s="967"/>
      <c r="F46" s="967" t="s">
        <v>223</v>
      </c>
      <c r="G46" s="670"/>
    </row>
    <row r="47" spans="1:7" ht="14.1" customHeight="1">
      <c r="A47" s="667"/>
      <c r="B47" s="667"/>
      <c r="C47" s="667"/>
      <c r="D47" s="667"/>
      <c r="E47" s="673"/>
      <c r="F47" s="4"/>
      <c r="G47" s="671"/>
    </row>
    <row r="48" spans="1:7">
      <c r="G48" s="671"/>
    </row>
    <row r="49" spans="1:7" ht="15" customHeight="1">
      <c r="G49" s="671"/>
    </row>
    <row r="50" spans="1:7">
      <c r="G50" s="671"/>
    </row>
    <row r="51" spans="1:7" ht="14.25" customHeight="1">
      <c r="G51" s="671"/>
    </row>
    <row r="52" spans="1:7" ht="12.75" customHeight="1">
      <c r="G52" s="670"/>
    </row>
    <row r="53" spans="1:7" ht="16.5" customHeight="1">
      <c r="G53" s="4"/>
    </row>
    <row r="54" spans="1:7" ht="16.5" customHeight="1"/>
    <row r="55" spans="1:7" ht="16.5" customHeight="1"/>
    <row r="56" spans="1:7" ht="16.5" customHeight="1"/>
    <row r="57" spans="1:7" ht="16.5" customHeight="1"/>
    <row r="60" spans="1:7">
      <c r="A60" s="666"/>
      <c r="B60" s="666"/>
      <c r="C60" s="666"/>
      <c r="D60" s="666"/>
      <c r="E60" s="666"/>
      <c r="F60" s="666"/>
    </row>
    <row r="62" spans="1:7">
      <c r="A62" s="666"/>
      <c r="B62" s="666"/>
      <c r="C62" s="666"/>
      <c r="D62" s="666"/>
      <c r="E62" s="666"/>
      <c r="F62" s="666"/>
    </row>
    <row r="63" spans="1:7">
      <c r="A63" s="666"/>
      <c r="B63" s="666"/>
      <c r="C63" s="666"/>
      <c r="D63" s="666"/>
      <c r="E63" s="666"/>
      <c r="F63" s="666"/>
    </row>
    <row r="64" spans="1:7">
      <c r="A64" s="666"/>
      <c r="B64" s="666"/>
      <c r="C64" s="666"/>
      <c r="D64" s="666"/>
      <c r="E64" s="666"/>
      <c r="F64" s="666"/>
    </row>
    <row r="65" spans="1:6">
      <c r="A65" s="666"/>
      <c r="B65" s="666"/>
      <c r="C65" s="666"/>
      <c r="D65" s="666"/>
      <c r="E65" s="666"/>
      <c r="F65" s="666"/>
    </row>
    <row r="66" spans="1:6">
      <c r="A66" s="666"/>
      <c r="B66" s="666"/>
      <c r="C66" s="666"/>
      <c r="D66" s="666"/>
      <c r="E66" s="666"/>
      <c r="F66" s="666"/>
    </row>
  </sheetData>
  <mergeCells count="16">
    <mergeCell ref="A8:B8"/>
    <mergeCell ref="A9:B9"/>
    <mergeCell ref="A7:B7"/>
    <mergeCell ref="A1:F1"/>
    <mergeCell ref="A2:F2"/>
    <mergeCell ref="A4:B5"/>
    <mergeCell ref="A6:B6"/>
    <mergeCell ref="C4:D4"/>
    <mergeCell ref="E4:F4"/>
    <mergeCell ref="A10:B10"/>
    <mergeCell ref="A11:B11"/>
    <mergeCell ref="E12:F12"/>
    <mergeCell ref="A17:A18"/>
    <mergeCell ref="B17:F17"/>
    <mergeCell ref="A14:F14"/>
    <mergeCell ref="A15:F15"/>
  </mergeCells>
  <phoneticPr fontId="0" type="noConversion"/>
  <printOptions horizontalCentered="1"/>
  <pageMargins left="0.28999999999999998" right="0.1" top="0.63" bottom="0.1" header="0.57999999999999996" footer="0.1"/>
  <pageSetup paperSize="9" orientation="portrait" blackAndWhite="1" r:id="rId1"/>
  <headerFooter alignWithMargins="0"/>
</worksheet>
</file>

<file path=xl/worksheets/sheet56.xml><?xml version="1.0" encoding="utf-8"?>
<worksheet xmlns="http://schemas.openxmlformats.org/spreadsheetml/2006/main" xmlns:r="http://schemas.openxmlformats.org/officeDocument/2006/relationships">
  <sheetPr codeName="Sheet66"/>
  <dimension ref="A1:M51"/>
  <sheetViews>
    <sheetView workbookViewId="0">
      <selection activeCell="M16" sqref="M16"/>
    </sheetView>
  </sheetViews>
  <sheetFormatPr defaultRowHeight="12.75"/>
  <cols>
    <col min="1" max="1" width="18.7109375" style="172" customWidth="1"/>
    <col min="2" max="6" width="12.28515625" style="172" customWidth="1"/>
    <col min="7" max="16384" width="9.140625" style="172"/>
  </cols>
  <sheetData>
    <row r="1" spans="1:13" s="1" customFormat="1" ht="15.75" customHeight="1">
      <c r="A1" s="1181" t="s">
        <v>833</v>
      </c>
      <c r="B1" s="1181"/>
      <c r="C1" s="1181"/>
      <c r="D1" s="1181"/>
      <c r="E1" s="1181"/>
      <c r="F1" s="1181"/>
    </row>
    <row r="2" spans="1:13" s="206" customFormat="1" ht="51.75" customHeight="1">
      <c r="A2" s="1463" t="str">
        <f>CONCATENATE("Number of small scale industrial units registered with the Directorate of Cottage and Small Scale Industries with corresponding employment 
in the district of ",District!A1)</f>
        <v>Number of small scale industrial units registered with the Directorate of Cottage and Small Scale Industries with corresponding employment 
in the district of Bankura</v>
      </c>
      <c r="B2" s="1463"/>
      <c r="C2" s="1463"/>
      <c r="D2" s="1463"/>
      <c r="E2" s="1463"/>
      <c r="F2" s="1463"/>
    </row>
    <row r="3" spans="1:13" ht="12.75" customHeight="1">
      <c r="A3" s="206"/>
      <c r="B3" s="8"/>
      <c r="D3" s="12"/>
      <c r="F3" s="538" t="s">
        <v>452</v>
      </c>
    </row>
    <row r="4" spans="1:13" ht="26.25" customHeight="1">
      <c r="A4" s="1464" t="s">
        <v>66</v>
      </c>
      <c r="B4" s="1465"/>
      <c r="C4" s="1186" t="s">
        <v>852</v>
      </c>
      <c r="D4" s="1184"/>
      <c r="E4" s="1187" t="s">
        <v>1174</v>
      </c>
      <c r="F4" s="1184"/>
    </row>
    <row r="5" spans="1:13" ht="12.75" customHeight="1">
      <c r="A5" s="1201" t="s">
        <v>418</v>
      </c>
      <c r="B5" s="1257"/>
      <c r="C5" s="1201" t="s">
        <v>419</v>
      </c>
      <c r="D5" s="1257"/>
      <c r="E5" s="1202" t="s">
        <v>420</v>
      </c>
      <c r="F5" s="1257"/>
    </row>
    <row r="6" spans="1:13" ht="18" customHeight="1">
      <c r="A6" s="1186">
        <v>2005</v>
      </c>
      <c r="B6" s="1184"/>
      <c r="C6" s="1375">
        <v>12836</v>
      </c>
      <c r="D6" s="1376"/>
      <c r="E6" s="1375">
        <v>63393</v>
      </c>
      <c r="F6" s="1376"/>
    </row>
    <row r="7" spans="1:13" ht="18" customHeight="1">
      <c r="A7" s="1188">
        <v>2006</v>
      </c>
      <c r="B7" s="1200"/>
      <c r="C7" s="1248">
        <v>13236</v>
      </c>
      <c r="D7" s="1409"/>
      <c r="E7" s="1248">
        <v>65720</v>
      </c>
      <c r="F7" s="1409"/>
    </row>
    <row r="8" spans="1:13" ht="18" customHeight="1">
      <c r="A8" s="1188" t="s">
        <v>307</v>
      </c>
      <c r="B8" s="1200"/>
      <c r="C8" s="1248">
        <v>13460</v>
      </c>
      <c r="D8" s="1409"/>
      <c r="E8" s="1248">
        <v>67108</v>
      </c>
      <c r="F8" s="1409"/>
    </row>
    <row r="9" spans="1:13" ht="18" customHeight="1">
      <c r="A9" s="1188" t="s">
        <v>1081</v>
      </c>
      <c r="B9" s="1200"/>
      <c r="C9" s="1248">
        <v>193</v>
      </c>
      <c r="D9" s="1409"/>
      <c r="E9" s="1248">
        <v>2114</v>
      </c>
      <c r="F9" s="1409"/>
    </row>
    <row r="10" spans="1:13" ht="18" customHeight="1">
      <c r="A10" s="1188">
        <v>2008</v>
      </c>
      <c r="B10" s="1183"/>
      <c r="C10" s="1248">
        <v>733</v>
      </c>
      <c r="D10" s="1409"/>
      <c r="E10" s="1248">
        <v>6555</v>
      </c>
      <c r="F10" s="1409"/>
    </row>
    <row r="11" spans="1:13" ht="18" customHeight="1">
      <c r="A11" s="1242">
        <v>2009</v>
      </c>
      <c r="B11" s="1185"/>
      <c r="C11" s="1268">
        <v>1110</v>
      </c>
      <c r="D11" s="1416"/>
      <c r="E11" s="1269">
        <v>9366</v>
      </c>
      <c r="F11" s="1416"/>
    </row>
    <row r="12" spans="1:13" ht="14.25" customHeight="1">
      <c r="A12" s="1467" t="s">
        <v>1378</v>
      </c>
      <c r="B12" s="1439"/>
      <c r="C12" s="18" t="s">
        <v>1102</v>
      </c>
      <c r="D12" s="1468" t="s">
        <v>1380</v>
      </c>
      <c r="E12" s="1469"/>
      <c r="F12" s="1469"/>
      <c r="G12" s="640"/>
      <c r="H12" s="640"/>
    </row>
    <row r="13" spans="1:13" ht="12.75" customHeight="1">
      <c r="A13" s="1440"/>
      <c r="B13" s="1440"/>
      <c r="C13" s="540"/>
      <c r="D13" s="1174"/>
      <c r="E13" s="1174"/>
      <c r="F13" s="1174"/>
    </row>
    <row r="14" spans="1:13">
      <c r="A14" s="1174"/>
      <c r="B14" s="1174"/>
      <c r="D14" s="1470" t="s">
        <v>1155</v>
      </c>
      <c r="E14" s="1174"/>
      <c r="F14" s="1174"/>
    </row>
    <row r="15" spans="1:13">
      <c r="A15" s="1174"/>
      <c r="B15" s="1174"/>
      <c r="D15" s="1174"/>
      <c r="E15" s="1174"/>
      <c r="F15" s="1174"/>
    </row>
    <row r="16" spans="1:13">
      <c r="A16" s="1174"/>
      <c r="B16" s="1174"/>
      <c r="C16" s="537"/>
      <c r="D16" s="539"/>
      <c r="F16" s="18"/>
      <c r="J16" s="537"/>
      <c r="K16" s="537"/>
      <c r="L16" s="537"/>
      <c r="M16" s="537"/>
    </row>
    <row r="17" spans="1:13">
      <c r="A17" s="639"/>
      <c r="B17" s="639"/>
      <c r="C17" s="537"/>
      <c r="D17" s="539"/>
      <c r="F17" s="18"/>
      <c r="J17" s="537"/>
      <c r="K17" s="537"/>
      <c r="L17" s="537"/>
      <c r="M17" s="537"/>
    </row>
    <row r="18" spans="1:13" ht="14.25" customHeight="1">
      <c r="A18" s="1181" t="s">
        <v>834</v>
      </c>
      <c r="B18" s="1181"/>
      <c r="C18" s="1181"/>
      <c r="D18" s="1181"/>
      <c r="E18" s="1181"/>
      <c r="F18" s="1181"/>
      <c r="K18" s="539"/>
      <c r="L18" s="196"/>
      <c r="M18" s="18"/>
    </row>
    <row r="19" spans="1:13" s="206" customFormat="1" ht="15.75" customHeight="1">
      <c r="A19" s="1466" t="str">
        <f>CONCATENATE("Number of Mouzas Electrified in the district of ",District!A1)</f>
        <v>Number of Mouzas Electrified in the district of Bankura</v>
      </c>
      <c r="B19" s="1466"/>
      <c r="C19" s="1466"/>
      <c r="D19" s="1466"/>
      <c r="E19" s="1466"/>
      <c r="F19" s="1466"/>
    </row>
    <row r="20" spans="1:13">
      <c r="A20" s="206"/>
      <c r="B20" s="289"/>
      <c r="C20" s="289"/>
      <c r="D20" s="289"/>
      <c r="E20" s="289"/>
      <c r="F20" s="198" t="s">
        <v>452</v>
      </c>
    </row>
    <row r="21" spans="1:13" ht="15" customHeight="1">
      <c r="A21" s="1258" t="s">
        <v>1177</v>
      </c>
      <c r="B21" s="1193" t="s">
        <v>851</v>
      </c>
      <c r="C21" s="1191"/>
      <c r="D21" s="1191"/>
      <c r="E21" s="1191"/>
      <c r="F21" s="1192"/>
    </row>
    <row r="22" spans="1:13" ht="15" customHeight="1">
      <c r="A22" s="1264"/>
      <c r="B22" s="41">
        <v>2005</v>
      </c>
      <c r="C22" s="42">
        <v>2006</v>
      </c>
      <c r="D22" s="42">
        <v>2007</v>
      </c>
      <c r="E22" s="413">
        <v>2008</v>
      </c>
      <c r="F22" s="251">
        <v>2009</v>
      </c>
    </row>
    <row r="23" spans="1:13" ht="15" customHeight="1">
      <c r="A23" s="221" t="s">
        <v>418</v>
      </c>
      <c r="B23" s="213" t="s">
        <v>419</v>
      </c>
      <c r="C23" s="213" t="s">
        <v>420</v>
      </c>
      <c r="D23" s="213" t="s">
        <v>421</v>
      </c>
      <c r="E23" s="214" t="s">
        <v>422</v>
      </c>
      <c r="F23" s="182" t="s">
        <v>423</v>
      </c>
    </row>
    <row r="24" spans="1:13" ht="15" customHeight="1">
      <c r="A24" s="45" t="s">
        <v>1077</v>
      </c>
      <c r="B24" s="65">
        <f>SUM(B25:B32)</f>
        <v>1100</v>
      </c>
      <c r="C24" s="65">
        <f>SUM(C25:C32)</f>
        <v>1180</v>
      </c>
      <c r="D24" s="158">
        <f>SUM(D25:D32)</f>
        <v>1324</v>
      </c>
      <c r="E24" s="158">
        <f>SUM(E25:E32)</f>
        <v>1329</v>
      </c>
      <c r="F24" s="158">
        <f>SUM(F25:F32)</f>
        <v>1390</v>
      </c>
      <c r="H24" s="272"/>
    </row>
    <row r="25" spans="1:13" ht="15" customHeight="1">
      <c r="A25" s="76" t="s">
        <v>596</v>
      </c>
      <c r="B25" s="33">
        <v>240</v>
      </c>
      <c r="C25" s="183">
        <v>120</v>
      </c>
      <c r="D25" s="183">
        <v>126</v>
      </c>
      <c r="E25" s="183">
        <v>126</v>
      </c>
      <c r="F25" s="183">
        <v>146</v>
      </c>
      <c r="H25" s="272"/>
    </row>
    <row r="26" spans="1:13" ht="15" customHeight="1">
      <c r="A26" s="76" t="s">
        <v>595</v>
      </c>
      <c r="B26" s="33"/>
      <c r="C26" s="183">
        <v>128</v>
      </c>
      <c r="D26" s="183">
        <v>137</v>
      </c>
      <c r="E26" s="183">
        <v>138</v>
      </c>
      <c r="F26" s="183">
        <v>144</v>
      </c>
    </row>
    <row r="27" spans="1:13" ht="15" customHeight="1">
      <c r="A27" s="76" t="s">
        <v>597</v>
      </c>
      <c r="B27" s="183">
        <v>178</v>
      </c>
      <c r="C27" s="183">
        <v>205</v>
      </c>
      <c r="D27" s="184">
        <v>272</v>
      </c>
      <c r="E27" s="184">
        <v>272</v>
      </c>
      <c r="F27" s="183">
        <v>276</v>
      </c>
    </row>
    <row r="28" spans="1:13" ht="15" customHeight="1">
      <c r="A28" s="76" t="s">
        <v>598</v>
      </c>
      <c r="B28" s="183">
        <v>99</v>
      </c>
      <c r="C28" s="183">
        <v>107</v>
      </c>
      <c r="D28" s="184">
        <v>140</v>
      </c>
      <c r="E28" s="184">
        <v>142</v>
      </c>
      <c r="F28" s="183">
        <v>144</v>
      </c>
    </row>
    <row r="29" spans="1:13" ht="15" customHeight="1">
      <c r="A29" s="76" t="s">
        <v>599</v>
      </c>
      <c r="B29" s="183">
        <v>68</v>
      </c>
      <c r="C29" s="183">
        <v>69</v>
      </c>
      <c r="D29" s="184">
        <v>69</v>
      </c>
      <c r="E29" s="184">
        <v>69</v>
      </c>
      <c r="F29" s="183">
        <v>72</v>
      </c>
    </row>
    <row r="30" spans="1:13" ht="15" customHeight="1">
      <c r="A30" s="76" t="s">
        <v>1243</v>
      </c>
      <c r="B30" s="183">
        <v>147</v>
      </c>
      <c r="C30" s="183">
        <v>148</v>
      </c>
      <c r="D30" s="184">
        <v>153</v>
      </c>
      <c r="E30" s="184">
        <v>153</v>
      </c>
      <c r="F30" s="183">
        <v>155</v>
      </c>
    </row>
    <row r="31" spans="1:13" ht="15" customHeight="1">
      <c r="A31" s="76" t="s">
        <v>600</v>
      </c>
      <c r="B31" s="183">
        <v>164</v>
      </c>
      <c r="C31" s="183">
        <v>172</v>
      </c>
      <c r="D31" s="184">
        <v>171</v>
      </c>
      <c r="E31" s="184">
        <v>173</v>
      </c>
      <c r="F31" s="183">
        <v>184</v>
      </c>
    </row>
    <row r="32" spans="1:13" ht="15" customHeight="1">
      <c r="A32" s="76" t="s">
        <v>602</v>
      </c>
      <c r="B32" s="183">
        <v>204</v>
      </c>
      <c r="C32" s="183">
        <v>231</v>
      </c>
      <c r="D32" s="184">
        <v>256</v>
      </c>
      <c r="E32" s="184">
        <v>256</v>
      </c>
      <c r="F32" s="183">
        <v>269</v>
      </c>
    </row>
    <row r="33" spans="1:9" ht="15" customHeight="1">
      <c r="A33" s="45" t="s">
        <v>273</v>
      </c>
      <c r="B33" s="34">
        <f>SUM(B34:B41)</f>
        <v>827</v>
      </c>
      <c r="C33" s="34">
        <f>SUM(C34:C41)</f>
        <v>913</v>
      </c>
      <c r="D33" s="28">
        <f>SUM(D34:D41)</f>
        <v>1121</v>
      </c>
      <c r="E33" s="28">
        <f>SUM(E34:E41)</f>
        <v>1180</v>
      </c>
      <c r="F33" s="28">
        <f>SUM(F34:F41)</f>
        <v>1293</v>
      </c>
    </row>
    <row r="34" spans="1:9" ht="15" customHeight="1">
      <c r="A34" s="76" t="s">
        <v>605</v>
      </c>
      <c r="B34" s="183">
        <v>126</v>
      </c>
      <c r="C34" s="183">
        <v>135</v>
      </c>
      <c r="D34" s="184">
        <v>180</v>
      </c>
      <c r="E34" s="184">
        <v>183</v>
      </c>
      <c r="F34" s="183">
        <v>196</v>
      </c>
    </row>
    <row r="35" spans="1:9" ht="15" customHeight="1">
      <c r="A35" s="76" t="s">
        <v>604</v>
      </c>
      <c r="B35" s="33">
        <v>220</v>
      </c>
      <c r="C35" s="183">
        <v>121</v>
      </c>
      <c r="D35" s="183">
        <v>132</v>
      </c>
      <c r="E35" s="183">
        <v>139</v>
      </c>
      <c r="F35" s="183">
        <v>147</v>
      </c>
    </row>
    <row r="36" spans="1:9" ht="15" customHeight="1">
      <c r="A36" s="76" t="s">
        <v>368</v>
      </c>
      <c r="B36" s="33"/>
      <c r="C36" s="183">
        <v>102</v>
      </c>
      <c r="D36" s="183">
        <v>113</v>
      </c>
      <c r="E36" s="183">
        <v>115</v>
      </c>
      <c r="F36" s="183">
        <v>115</v>
      </c>
      <c r="I36" s="520"/>
    </row>
    <row r="37" spans="1:9" ht="15" customHeight="1">
      <c r="A37" s="76" t="s">
        <v>606</v>
      </c>
      <c r="B37" s="183">
        <v>89</v>
      </c>
      <c r="C37" s="184">
        <v>102</v>
      </c>
      <c r="D37" s="184">
        <v>131</v>
      </c>
      <c r="E37" s="183">
        <v>142</v>
      </c>
      <c r="F37" s="183">
        <v>161</v>
      </c>
    </row>
    <row r="38" spans="1:9" ht="15" customHeight="1">
      <c r="A38" s="76" t="s">
        <v>347</v>
      </c>
      <c r="B38" s="183">
        <v>123</v>
      </c>
      <c r="C38" s="184">
        <v>123</v>
      </c>
      <c r="D38" s="184">
        <v>134</v>
      </c>
      <c r="E38" s="183">
        <v>136</v>
      </c>
      <c r="F38" s="183">
        <v>141</v>
      </c>
    </row>
    <row r="39" spans="1:9" ht="15" customHeight="1">
      <c r="A39" s="76" t="s">
        <v>369</v>
      </c>
      <c r="B39" s="183">
        <v>121</v>
      </c>
      <c r="C39" s="184">
        <v>144</v>
      </c>
      <c r="D39" s="184">
        <v>155</v>
      </c>
      <c r="E39" s="183">
        <v>157</v>
      </c>
      <c r="F39" s="183">
        <v>190</v>
      </c>
    </row>
    <row r="40" spans="1:9" ht="15" customHeight="1">
      <c r="A40" s="76" t="s">
        <v>349</v>
      </c>
      <c r="B40" s="33">
        <v>148</v>
      </c>
      <c r="C40" s="183">
        <v>60</v>
      </c>
      <c r="D40" s="183">
        <v>142</v>
      </c>
      <c r="E40" s="183">
        <v>159</v>
      </c>
      <c r="F40" s="183">
        <v>194</v>
      </c>
    </row>
    <row r="41" spans="1:9" ht="15" customHeight="1">
      <c r="A41" s="76" t="s">
        <v>370</v>
      </c>
      <c r="B41" s="33"/>
      <c r="C41" s="183">
        <v>126</v>
      </c>
      <c r="D41" s="183">
        <v>134</v>
      </c>
      <c r="E41" s="183">
        <v>149</v>
      </c>
      <c r="F41" s="183">
        <v>149</v>
      </c>
    </row>
    <row r="42" spans="1:9" ht="15" customHeight="1">
      <c r="A42" s="45" t="s">
        <v>372</v>
      </c>
      <c r="B42" s="34">
        <f>SUM(B43:B48)</f>
        <v>772</v>
      </c>
      <c r="C42" s="34">
        <f>SUM(C43:C48)</f>
        <v>819</v>
      </c>
      <c r="D42" s="28">
        <f>SUM(D43:D48)</f>
        <v>858</v>
      </c>
      <c r="E42" s="28">
        <f>SUM(E43:E48)</f>
        <v>860</v>
      </c>
      <c r="F42" s="28">
        <f>SUM(F43:F48)</f>
        <v>891</v>
      </c>
    </row>
    <row r="43" spans="1:9" ht="15" customHeight="1">
      <c r="A43" s="76" t="s">
        <v>350</v>
      </c>
      <c r="B43" s="183">
        <v>117</v>
      </c>
      <c r="C43" s="184">
        <v>128</v>
      </c>
      <c r="D43" s="184">
        <v>142</v>
      </c>
      <c r="E43" s="183">
        <v>143</v>
      </c>
      <c r="F43" s="183">
        <v>149</v>
      </c>
      <c r="G43" s="177"/>
    </row>
    <row r="44" spans="1:9" ht="15" customHeight="1">
      <c r="A44" s="76" t="s">
        <v>351</v>
      </c>
      <c r="B44" s="183">
        <v>116</v>
      </c>
      <c r="C44" s="184">
        <v>127</v>
      </c>
      <c r="D44" s="184">
        <v>135</v>
      </c>
      <c r="E44" s="183">
        <v>135</v>
      </c>
      <c r="F44" s="183">
        <v>137</v>
      </c>
      <c r="G44" s="177"/>
    </row>
    <row r="45" spans="1:9" ht="15" customHeight="1">
      <c r="A45" s="76" t="s">
        <v>352</v>
      </c>
      <c r="B45" s="183">
        <v>138</v>
      </c>
      <c r="C45" s="184">
        <v>148</v>
      </c>
      <c r="D45" s="184">
        <v>158</v>
      </c>
      <c r="E45" s="183">
        <v>159</v>
      </c>
      <c r="F45" s="183">
        <v>166</v>
      </c>
      <c r="G45" s="177"/>
    </row>
    <row r="46" spans="1:9" ht="15" customHeight="1">
      <c r="A46" s="76" t="s">
        <v>353</v>
      </c>
      <c r="B46" s="183">
        <v>152</v>
      </c>
      <c r="C46" s="184">
        <v>155</v>
      </c>
      <c r="D46" s="184">
        <v>153</v>
      </c>
      <c r="E46" s="183">
        <v>153</v>
      </c>
      <c r="F46" s="183">
        <v>160</v>
      </c>
      <c r="G46" s="177"/>
    </row>
    <row r="47" spans="1:9" ht="15" customHeight="1">
      <c r="A47" s="76" t="s">
        <v>354</v>
      </c>
      <c r="B47" s="183">
        <v>133</v>
      </c>
      <c r="C47" s="184">
        <v>137</v>
      </c>
      <c r="D47" s="184">
        <v>147</v>
      </c>
      <c r="E47" s="183">
        <v>147</v>
      </c>
      <c r="F47" s="183">
        <v>150</v>
      </c>
      <c r="G47" s="177"/>
    </row>
    <row r="48" spans="1:9" ht="15" customHeight="1">
      <c r="A48" s="568" t="s">
        <v>355</v>
      </c>
      <c r="B48" s="248">
        <v>116</v>
      </c>
      <c r="C48" s="194">
        <v>124</v>
      </c>
      <c r="D48" s="184">
        <v>123</v>
      </c>
      <c r="E48" s="183">
        <v>123</v>
      </c>
      <c r="F48" s="248">
        <v>129</v>
      </c>
      <c r="G48" s="177"/>
    </row>
    <row r="49" spans="1:6" ht="15" customHeight="1">
      <c r="A49" s="209" t="s">
        <v>439</v>
      </c>
      <c r="B49" s="179">
        <f>SUM(B24,B33,B42)</f>
        <v>2699</v>
      </c>
      <c r="C49" s="179">
        <f>SUM(C24,C33,C42)</f>
        <v>2912</v>
      </c>
      <c r="D49" s="180">
        <f>SUM(D24,D33,D42)</f>
        <v>3303</v>
      </c>
      <c r="E49" s="180">
        <f>SUM(E24,E33,E42)</f>
        <v>3369</v>
      </c>
      <c r="F49" s="180">
        <f>SUM(F24,F33,F42)</f>
        <v>3574</v>
      </c>
    </row>
    <row r="50" spans="1:6">
      <c r="C50" s="296"/>
      <c r="E50" s="540"/>
      <c r="F50" s="296" t="s">
        <v>878</v>
      </c>
    </row>
    <row r="51" spans="1:6">
      <c r="C51" s="2"/>
      <c r="D51" s="540"/>
      <c r="E51" s="540"/>
      <c r="F51" s="540"/>
    </row>
  </sheetData>
  <mergeCells count="33">
    <mergeCell ref="A7:B7"/>
    <mergeCell ref="C7:D7"/>
    <mergeCell ref="E6:F6"/>
    <mergeCell ref="E8:F8"/>
    <mergeCell ref="C10:D10"/>
    <mergeCell ref="E10:F10"/>
    <mergeCell ref="A10:B10"/>
    <mergeCell ref="C11:D11"/>
    <mergeCell ref="A21:A22"/>
    <mergeCell ref="B21:F21"/>
    <mergeCell ref="A19:F19"/>
    <mergeCell ref="A18:F18"/>
    <mergeCell ref="A12:B16"/>
    <mergeCell ref="D12:F13"/>
    <mergeCell ref="D14:F15"/>
    <mergeCell ref="E11:F11"/>
    <mergeCell ref="A11:B11"/>
    <mergeCell ref="A1:F1"/>
    <mergeCell ref="A2:F2"/>
    <mergeCell ref="E9:F9"/>
    <mergeCell ref="C9:D9"/>
    <mergeCell ref="C4:D4"/>
    <mergeCell ref="C6:D6"/>
    <mergeCell ref="A4:B4"/>
    <mergeCell ref="E4:F4"/>
    <mergeCell ref="C8:D8"/>
    <mergeCell ref="E5:F5"/>
    <mergeCell ref="A9:B9"/>
    <mergeCell ref="E7:F7"/>
    <mergeCell ref="C5:D5"/>
    <mergeCell ref="A5:B5"/>
    <mergeCell ref="A8:B8"/>
    <mergeCell ref="A6:B6"/>
  </mergeCells>
  <phoneticPr fontId="0" type="noConversion"/>
  <printOptions horizontalCentered="1"/>
  <pageMargins left="0.1" right="0.1" top="0.37" bottom="0.1" header="0.44" footer="0.1"/>
  <pageSetup paperSize="9" orientation="portrait" horizontalDpi="4294967295" verticalDpi="300" r:id="rId1"/>
  <headerFooter alignWithMargins="0"/>
  <drawing r:id="rId2"/>
</worksheet>
</file>

<file path=xl/worksheets/sheet57.xml><?xml version="1.0" encoding="utf-8"?>
<worksheet xmlns="http://schemas.openxmlformats.org/spreadsheetml/2006/main" xmlns:r="http://schemas.openxmlformats.org/officeDocument/2006/relationships">
  <sheetPr codeName="Sheet49"/>
  <dimension ref="A1:K13"/>
  <sheetViews>
    <sheetView workbookViewId="0">
      <selection activeCell="M30" sqref="M30"/>
    </sheetView>
  </sheetViews>
  <sheetFormatPr defaultRowHeight="12.75"/>
  <cols>
    <col min="1" max="1" width="17" style="172" customWidth="1"/>
    <col min="2" max="10" width="13.28515625" style="172" customWidth="1"/>
    <col min="11" max="16384" width="9.140625" style="172"/>
  </cols>
  <sheetData>
    <row r="1" spans="1:11" ht="13.5" customHeight="1">
      <c r="A1" s="1181" t="s">
        <v>1576</v>
      </c>
      <c r="B1" s="1181"/>
      <c r="C1" s="1181"/>
      <c r="D1" s="1181"/>
      <c r="E1" s="1181"/>
      <c r="F1" s="1181"/>
      <c r="G1" s="1181"/>
      <c r="H1" s="1181"/>
      <c r="I1" s="1181"/>
      <c r="J1" s="1181"/>
    </row>
    <row r="2" spans="1:11" s="206" customFormat="1" ht="18" customHeight="1">
      <c r="A2" s="1189" t="str">
        <f>CONCATENATE("Consumption of Electricity by different sectors in the district of ",District!A1)</f>
        <v>Consumption of Electricity by different sectors in the district of Bankura</v>
      </c>
      <c r="B2" s="1189"/>
      <c r="C2" s="1189"/>
      <c r="D2" s="1189"/>
      <c r="E2" s="1189"/>
      <c r="F2" s="1189"/>
      <c r="G2" s="1189"/>
      <c r="H2" s="1189"/>
      <c r="I2" s="1189"/>
      <c r="J2" s="1189"/>
    </row>
    <row r="3" spans="1:11" ht="15" customHeight="1">
      <c r="A3" s="206"/>
      <c r="B3" s="13"/>
      <c r="C3" s="13"/>
      <c r="D3" s="13"/>
      <c r="E3" s="13"/>
      <c r="F3" s="17"/>
      <c r="G3" s="17"/>
      <c r="H3" s="17"/>
      <c r="I3" s="611"/>
      <c r="J3" s="198" t="s">
        <v>1334</v>
      </c>
    </row>
    <row r="4" spans="1:11" ht="52.5" customHeight="1">
      <c r="A4" s="263" t="s">
        <v>304</v>
      </c>
      <c r="B4" s="263" t="s">
        <v>1175</v>
      </c>
      <c r="C4" s="263" t="s">
        <v>1386</v>
      </c>
      <c r="D4" s="263" t="s">
        <v>1176</v>
      </c>
      <c r="E4" s="263" t="s">
        <v>1179</v>
      </c>
      <c r="F4" s="263" t="s">
        <v>97</v>
      </c>
      <c r="G4" s="263" t="s">
        <v>98</v>
      </c>
      <c r="H4" s="263" t="s">
        <v>1333</v>
      </c>
      <c r="I4" s="263" t="s">
        <v>226</v>
      </c>
      <c r="J4" s="336" t="s">
        <v>439</v>
      </c>
    </row>
    <row r="5" spans="1:11" ht="22.5" customHeight="1">
      <c r="A5" s="213" t="s">
        <v>418</v>
      </c>
      <c r="B5" s="213" t="s">
        <v>419</v>
      </c>
      <c r="C5" s="214" t="s">
        <v>420</v>
      </c>
      <c r="D5" s="214" t="s">
        <v>421</v>
      </c>
      <c r="E5" s="214" t="s">
        <v>422</v>
      </c>
      <c r="F5" s="214" t="s">
        <v>423</v>
      </c>
      <c r="G5" s="214" t="s">
        <v>424</v>
      </c>
      <c r="H5" s="216" t="s">
        <v>440</v>
      </c>
      <c r="I5" s="214" t="s">
        <v>441</v>
      </c>
      <c r="J5" s="216" t="s">
        <v>442</v>
      </c>
    </row>
    <row r="6" spans="1:11" ht="41.25" customHeight="1">
      <c r="A6" s="226" t="str">
        <f>District!B16</f>
        <v>2009-10</v>
      </c>
      <c r="B6" s="281">
        <v>164679</v>
      </c>
      <c r="C6" s="293">
        <v>41603</v>
      </c>
      <c r="D6" s="281">
        <v>69928</v>
      </c>
      <c r="E6" s="293">
        <v>2352</v>
      </c>
      <c r="F6" s="281">
        <v>18057</v>
      </c>
      <c r="G6" s="293">
        <v>5571</v>
      </c>
      <c r="H6" s="183" t="s">
        <v>1127</v>
      </c>
      <c r="I6" s="293">
        <v>7874</v>
      </c>
      <c r="J6" s="641">
        <v>310064</v>
      </c>
    </row>
    <row r="7" spans="1:11" ht="41.25" customHeight="1">
      <c r="A7" s="226" t="str">
        <f>District!B17</f>
        <v>2010-11</v>
      </c>
      <c r="B7" s="281">
        <v>185300</v>
      </c>
      <c r="C7" s="293">
        <v>56869</v>
      </c>
      <c r="D7" s="281">
        <v>93359</v>
      </c>
      <c r="E7" s="293">
        <v>3798</v>
      </c>
      <c r="F7" s="281">
        <v>59626</v>
      </c>
      <c r="G7" s="293">
        <v>6976</v>
      </c>
      <c r="H7" s="183" t="s">
        <v>1127</v>
      </c>
      <c r="I7" s="293">
        <v>15473</v>
      </c>
      <c r="J7" s="281">
        <v>421401</v>
      </c>
    </row>
    <row r="8" spans="1:11" ht="41.25" customHeight="1">
      <c r="A8" s="226" t="str">
        <f>District!B18</f>
        <v>2011-12</v>
      </c>
      <c r="B8" s="281">
        <v>216698</v>
      </c>
      <c r="C8" s="293">
        <v>56316</v>
      </c>
      <c r="D8" s="281">
        <v>88750</v>
      </c>
      <c r="E8" s="293">
        <v>12486</v>
      </c>
      <c r="F8" s="281">
        <v>48919</v>
      </c>
      <c r="G8" s="293">
        <v>5138</v>
      </c>
      <c r="H8" s="183" t="s">
        <v>1127</v>
      </c>
      <c r="I8" s="293">
        <v>9219</v>
      </c>
      <c r="J8" s="281">
        <v>437526</v>
      </c>
    </row>
    <row r="9" spans="1:11" ht="41.25" customHeight="1">
      <c r="A9" s="226" t="str">
        <f>District!B19</f>
        <v>2012-13</v>
      </c>
      <c r="B9" s="281">
        <v>229682</v>
      </c>
      <c r="C9" s="293">
        <v>62419</v>
      </c>
      <c r="D9" s="281">
        <v>52070</v>
      </c>
      <c r="E9" s="293">
        <v>5151</v>
      </c>
      <c r="F9" s="281">
        <v>50476</v>
      </c>
      <c r="G9" s="293">
        <v>11156</v>
      </c>
      <c r="H9" s="281">
        <v>1056</v>
      </c>
      <c r="I9" s="293">
        <v>52697</v>
      </c>
      <c r="J9" s="281">
        <f>SUM(B9:I9)</f>
        <v>464707</v>
      </c>
      <c r="K9" s="177"/>
    </row>
    <row r="10" spans="1:11" ht="41.25" customHeight="1">
      <c r="A10" s="251" t="str">
        <f>District!B20</f>
        <v>2013-14</v>
      </c>
      <c r="B10" s="295">
        <v>252530.58</v>
      </c>
      <c r="C10" s="283">
        <v>64023</v>
      </c>
      <c r="D10" s="295">
        <v>53653</v>
      </c>
      <c r="E10" s="283">
        <v>5365</v>
      </c>
      <c r="F10" s="295">
        <v>52117</v>
      </c>
      <c r="G10" s="283">
        <v>10481</v>
      </c>
      <c r="H10" s="295">
        <v>1110</v>
      </c>
      <c r="I10" s="283">
        <v>45310</v>
      </c>
      <c r="J10" s="283">
        <f>SUM(B10:I10)</f>
        <v>484589.57999999996</v>
      </c>
      <c r="K10" s="177"/>
    </row>
    <row r="11" spans="1:11">
      <c r="A11" s="18"/>
      <c r="B11" s="18"/>
      <c r="C11" s="18"/>
      <c r="D11" s="18"/>
      <c r="F11" s="703" t="s">
        <v>1028</v>
      </c>
      <c r="G11" s="737" t="s">
        <v>224</v>
      </c>
      <c r="H11" s="477"/>
      <c r="I11" s="477"/>
    </row>
    <row r="12" spans="1:11">
      <c r="F12" s="651"/>
      <c r="G12" s="745" t="s">
        <v>225</v>
      </c>
      <c r="H12" s="537"/>
      <c r="I12" s="537"/>
    </row>
    <row r="13" spans="1:11">
      <c r="G13" s="537"/>
      <c r="H13" s="537"/>
      <c r="I13" s="537"/>
      <c r="J13" s="2"/>
    </row>
  </sheetData>
  <mergeCells count="2">
    <mergeCell ref="A1:J1"/>
    <mergeCell ref="A2:J2"/>
  </mergeCells>
  <phoneticPr fontId="0" type="noConversion"/>
  <printOptions horizontalCentered="1"/>
  <pageMargins left="0.1" right="0.1" top="0.86" bottom="0.1" header="0.49" footer="0.1"/>
  <pageSetup paperSize="9" orientation="landscape" r:id="rId1"/>
  <headerFooter alignWithMargins="0"/>
</worksheet>
</file>

<file path=xl/worksheets/sheet58.xml><?xml version="1.0" encoding="utf-8"?>
<worksheet xmlns="http://schemas.openxmlformats.org/spreadsheetml/2006/main" xmlns:r="http://schemas.openxmlformats.org/officeDocument/2006/relationships">
  <sheetPr codeName="Sheet68"/>
  <dimension ref="A1:M36"/>
  <sheetViews>
    <sheetView topLeftCell="B7" workbookViewId="0">
      <selection activeCell="M30" sqref="M30"/>
    </sheetView>
  </sheetViews>
  <sheetFormatPr defaultRowHeight="12.75"/>
  <cols>
    <col min="1" max="1" width="4.7109375" style="172" hidden="1" customWidth="1"/>
    <col min="2" max="2" width="10.5703125" style="172" customWidth="1"/>
    <col min="3" max="3" width="9.140625" style="172"/>
    <col min="4" max="4" width="10.28515625" style="172" customWidth="1"/>
    <col min="5" max="5" width="9.7109375" style="172" customWidth="1"/>
    <col min="6" max="6" width="12.140625" style="172" customWidth="1"/>
    <col min="7" max="7" width="12.28515625" style="172" customWidth="1"/>
    <col min="8" max="8" width="8.7109375" style="172" customWidth="1"/>
    <col min="9" max="9" width="10" style="172" customWidth="1"/>
    <col min="10" max="10" width="10.28515625" style="172" customWidth="1"/>
    <col min="11" max="11" width="9.28515625" style="172" customWidth="1"/>
    <col min="12" max="12" width="11.7109375" style="172" customWidth="1"/>
    <col min="13" max="16384" width="9.140625" style="172"/>
  </cols>
  <sheetData>
    <row r="1" spans="2:12" ht="13.5" customHeight="1">
      <c r="B1" s="1181" t="s">
        <v>1575</v>
      </c>
      <c r="C1" s="1181"/>
      <c r="D1" s="1181"/>
      <c r="E1" s="1181"/>
      <c r="F1" s="1181"/>
      <c r="G1" s="1181"/>
      <c r="H1" s="1181"/>
      <c r="I1" s="1181"/>
      <c r="J1" s="1181"/>
      <c r="K1" s="1181"/>
      <c r="L1" s="1181"/>
    </row>
    <row r="2" spans="2:12" s="206" customFormat="1" ht="20.25" customHeight="1">
      <c r="B2" s="1189" t="s">
        <v>1683</v>
      </c>
      <c r="C2" s="1189"/>
      <c r="D2" s="1189"/>
      <c r="E2" s="1189"/>
      <c r="F2" s="1189"/>
      <c r="G2" s="1189"/>
      <c r="H2" s="1189"/>
      <c r="I2" s="1189"/>
      <c r="J2" s="1189"/>
      <c r="K2" s="1189"/>
      <c r="L2" s="1189"/>
    </row>
    <row r="3" spans="2:12" ht="51" customHeight="1">
      <c r="B3" s="331" t="s">
        <v>726</v>
      </c>
      <c r="C3" s="263" t="s">
        <v>228</v>
      </c>
      <c r="D3" s="447" t="s">
        <v>342</v>
      </c>
      <c r="E3" s="263" t="s">
        <v>343</v>
      </c>
      <c r="F3" s="447" t="s">
        <v>227</v>
      </c>
      <c r="G3" s="263" t="s">
        <v>36</v>
      </c>
      <c r="H3" s="263" t="s">
        <v>344</v>
      </c>
      <c r="I3" s="207" t="s">
        <v>99</v>
      </c>
      <c r="J3" s="263" t="s">
        <v>100</v>
      </c>
      <c r="K3" s="207" t="s">
        <v>101</v>
      </c>
      <c r="L3" s="336" t="s">
        <v>102</v>
      </c>
    </row>
    <row r="4" spans="2:12" ht="13.5" customHeight="1">
      <c r="B4" s="221" t="s">
        <v>418</v>
      </c>
      <c r="C4" s="213" t="s">
        <v>419</v>
      </c>
      <c r="D4" s="222" t="s">
        <v>420</v>
      </c>
      <c r="E4" s="213" t="s">
        <v>421</v>
      </c>
      <c r="F4" s="222" t="s">
        <v>422</v>
      </c>
      <c r="G4" s="213" t="s">
        <v>423</v>
      </c>
      <c r="H4" s="222" t="s">
        <v>374</v>
      </c>
      <c r="I4" s="215" t="s">
        <v>440</v>
      </c>
      <c r="J4" s="222" t="s">
        <v>441</v>
      </c>
      <c r="K4" s="215" t="s">
        <v>442</v>
      </c>
      <c r="L4" s="214" t="s">
        <v>443</v>
      </c>
    </row>
    <row r="5" spans="2:12" ht="14.25" customHeight="1">
      <c r="B5" s="1084" t="s">
        <v>458</v>
      </c>
      <c r="C5" s="173">
        <v>64.000000000000014</v>
      </c>
      <c r="D5" s="1082">
        <v>2609</v>
      </c>
      <c r="E5" s="173">
        <v>7979</v>
      </c>
      <c r="F5" s="1082">
        <v>922</v>
      </c>
      <c r="G5" s="173">
        <v>249</v>
      </c>
      <c r="H5" s="1082">
        <v>508</v>
      </c>
      <c r="I5" s="173">
        <v>34469</v>
      </c>
      <c r="J5" s="1082">
        <v>37193</v>
      </c>
      <c r="K5" s="173">
        <v>2440</v>
      </c>
      <c r="L5" s="174">
        <v>1818</v>
      </c>
    </row>
    <row r="6" spans="2:12" ht="14.25" customHeight="1">
      <c r="B6" s="1085" t="s">
        <v>459</v>
      </c>
      <c r="C6" s="173">
        <v>6</v>
      </c>
      <c r="D6" s="1082">
        <v>31</v>
      </c>
      <c r="E6" s="173">
        <v>110</v>
      </c>
      <c r="F6" s="1082">
        <v>687</v>
      </c>
      <c r="G6" s="173">
        <v>197</v>
      </c>
      <c r="H6" s="1082">
        <v>83</v>
      </c>
      <c r="I6" s="173">
        <v>471</v>
      </c>
      <c r="J6" s="1082">
        <v>567</v>
      </c>
      <c r="K6" s="173">
        <v>93</v>
      </c>
      <c r="L6" s="174">
        <v>94</v>
      </c>
    </row>
    <row r="7" spans="2:12" ht="14.25" customHeight="1">
      <c r="B7" s="1085" t="s">
        <v>460</v>
      </c>
      <c r="C7" s="173">
        <v>4</v>
      </c>
      <c r="D7" s="1082">
        <v>979</v>
      </c>
      <c r="E7" s="173">
        <v>1728</v>
      </c>
      <c r="F7" s="1082">
        <v>401</v>
      </c>
      <c r="G7" s="173">
        <v>148</v>
      </c>
      <c r="H7" s="1082">
        <v>411</v>
      </c>
      <c r="I7" s="173">
        <v>3303</v>
      </c>
      <c r="J7" s="1082">
        <v>3883</v>
      </c>
      <c r="K7" s="173">
        <v>465</v>
      </c>
      <c r="L7" s="174">
        <v>293</v>
      </c>
    </row>
    <row r="8" spans="2:12" ht="14.25" customHeight="1">
      <c r="B8" s="1085" t="s">
        <v>461</v>
      </c>
      <c r="C8" s="173">
        <v>1</v>
      </c>
      <c r="D8" s="1082">
        <v>0</v>
      </c>
      <c r="E8" s="173">
        <v>9</v>
      </c>
      <c r="F8" s="1082">
        <v>10</v>
      </c>
      <c r="G8" s="173">
        <v>4</v>
      </c>
      <c r="H8" s="1082">
        <v>5</v>
      </c>
      <c r="I8" s="173">
        <v>6</v>
      </c>
      <c r="J8" s="1082">
        <v>12</v>
      </c>
      <c r="K8" s="173">
        <v>6</v>
      </c>
      <c r="L8" s="174">
        <v>6</v>
      </c>
    </row>
    <row r="9" spans="2:12" ht="14.25" customHeight="1">
      <c r="B9" s="1085" t="s">
        <v>462</v>
      </c>
      <c r="C9" s="173">
        <v>1</v>
      </c>
      <c r="D9" s="1082">
        <v>16</v>
      </c>
      <c r="E9" s="173">
        <v>32</v>
      </c>
      <c r="F9" s="1082">
        <v>16</v>
      </c>
      <c r="G9" s="173">
        <v>7</v>
      </c>
      <c r="H9" s="1082">
        <v>15</v>
      </c>
      <c r="I9" s="173">
        <v>155</v>
      </c>
      <c r="J9" s="1082">
        <v>177</v>
      </c>
      <c r="K9" s="173">
        <v>19</v>
      </c>
      <c r="L9" s="174">
        <v>16</v>
      </c>
    </row>
    <row r="10" spans="2:12" ht="14.25" customHeight="1">
      <c r="B10" s="1085" t="s">
        <v>463</v>
      </c>
      <c r="C10" s="173">
        <v>5</v>
      </c>
      <c r="D10" s="1082">
        <v>1082</v>
      </c>
      <c r="E10" s="173">
        <v>1395</v>
      </c>
      <c r="F10" s="1082">
        <v>216</v>
      </c>
      <c r="G10" s="173">
        <v>75</v>
      </c>
      <c r="H10" s="1082">
        <v>325</v>
      </c>
      <c r="I10" s="173">
        <v>2368</v>
      </c>
      <c r="J10" s="1082">
        <v>5007</v>
      </c>
      <c r="K10" s="173">
        <v>2483</v>
      </c>
      <c r="L10" s="174">
        <v>2352</v>
      </c>
    </row>
    <row r="11" spans="2:12" ht="14.25" customHeight="1">
      <c r="B11" s="1085" t="s">
        <v>464</v>
      </c>
      <c r="C11" s="173">
        <v>5</v>
      </c>
      <c r="D11" s="1082">
        <v>3152</v>
      </c>
      <c r="E11" s="173">
        <v>5441</v>
      </c>
      <c r="F11" s="1082">
        <v>245</v>
      </c>
      <c r="G11" s="173">
        <v>129</v>
      </c>
      <c r="H11" s="1082">
        <v>731</v>
      </c>
      <c r="I11" s="173">
        <v>10064</v>
      </c>
      <c r="J11" s="1082">
        <v>12353</v>
      </c>
      <c r="K11" s="173">
        <v>1844</v>
      </c>
      <c r="L11" s="174">
        <v>1709</v>
      </c>
    </row>
    <row r="12" spans="2:12" ht="14.25" customHeight="1">
      <c r="B12" s="1085" t="s">
        <v>465</v>
      </c>
      <c r="C12" s="173">
        <v>16</v>
      </c>
      <c r="D12" s="1082">
        <v>28588</v>
      </c>
      <c r="E12" s="173">
        <v>31690</v>
      </c>
      <c r="F12" s="1082">
        <v>811</v>
      </c>
      <c r="G12" s="173">
        <v>324</v>
      </c>
      <c r="H12" s="1082">
        <v>1302</v>
      </c>
      <c r="I12" s="173">
        <v>35176</v>
      </c>
      <c r="J12" s="1082">
        <v>47372</v>
      </c>
      <c r="K12" s="173">
        <v>10769</v>
      </c>
      <c r="L12" s="174">
        <v>10459</v>
      </c>
    </row>
    <row r="13" spans="2:12" ht="14.25" customHeight="1">
      <c r="B13" s="1085" t="s">
        <v>466</v>
      </c>
      <c r="C13" s="173">
        <v>39</v>
      </c>
      <c r="D13" s="1082">
        <v>173695</v>
      </c>
      <c r="E13" s="173">
        <v>266989</v>
      </c>
      <c r="F13" s="1082">
        <v>5290</v>
      </c>
      <c r="G13" s="173">
        <v>2096</v>
      </c>
      <c r="H13" s="1082">
        <v>7268</v>
      </c>
      <c r="I13" s="173">
        <v>363320</v>
      </c>
      <c r="J13" s="1082">
        <v>418250</v>
      </c>
      <c r="K13" s="173">
        <v>46563</v>
      </c>
      <c r="L13" s="174">
        <v>31203</v>
      </c>
    </row>
    <row r="14" spans="2:12" ht="14.25" customHeight="1">
      <c r="B14" s="1085" t="s">
        <v>467</v>
      </c>
      <c r="C14" s="173">
        <v>3</v>
      </c>
      <c r="D14" s="1082">
        <v>926</v>
      </c>
      <c r="E14" s="173">
        <v>2219</v>
      </c>
      <c r="F14" s="1082">
        <v>260</v>
      </c>
      <c r="G14" s="173">
        <v>91</v>
      </c>
      <c r="H14" s="1082">
        <v>297</v>
      </c>
      <c r="I14" s="173">
        <v>4356</v>
      </c>
      <c r="J14" s="1082">
        <v>4696</v>
      </c>
      <c r="K14" s="173">
        <v>227</v>
      </c>
      <c r="L14" s="174">
        <v>111</v>
      </c>
    </row>
    <row r="15" spans="2:12" ht="14.25" customHeight="1">
      <c r="B15" s="1085" t="s">
        <v>1681</v>
      </c>
      <c r="C15" s="173">
        <v>3</v>
      </c>
      <c r="D15" s="1082">
        <v>1461</v>
      </c>
      <c r="E15" s="173">
        <v>2634</v>
      </c>
      <c r="F15" s="1082">
        <v>48</v>
      </c>
      <c r="G15" s="173">
        <v>22</v>
      </c>
      <c r="H15" s="1082">
        <v>110</v>
      </c>
      <c r="I15" s="173">
        <v>7656</v>
      </c>
      <c r="J15" s="1082">
        <v>7970</v>
      </c>
      <c r="K15" s="173">
        <v>224</v>
      </c>
      <c r="L15" s="174">
        <v>39</v>
      </c>
    </row>
    <row r="16" spans="2:12" ht="14.25" customHeight="1">
      <c r="B16" s="1085" t="s">
        <v>468</v>
      </c>
      <c r="C16" s="173">
        <v>2</v>
      </c>
      <c r="D16" s="1082">
        <v>3204</v>
      </c>
      <c r="E16" s="173">
        <v>4457</v>
      </c>
      <c r="F16" s="1082">
        <v>63</v>
      </c>
      <c r="G16" s="173">
        <v>29</v>
      </c>
      <c r="H16" s="1082">
        <v>175</v>
      </c>
      <c r="I16" s="173">
        <v>10784</v>
      </c>
      <c r="J16" s="1082">
        <v>10986</v>
      </c>
      <c r="K16" s="173">
        <v>54</v>
      </c>
      <c r="L16" s="174">
        <v>161</v>
      </c>
    </row>
    <row r="17" spans="1:13" ht="14.25" customHeight="1">
      <c r="B17" s="1085" t="s">
        <v>469</v>
      </c>
      <c r="C17" s="173">
        <v>1</v>
      </c>
      <c r="D17" s="1082">
        <v>2902</v>
      </c>
      <c r="E17" s="173">
        <v>4418</v>
      </c>
      <c r="F17" s="1082">
        <v>157</v>
      </c>
      <c r="G17" s="173">
        <v>49</v>
      </c>
      <c r="H17" s="1082">
        <v>243</v>
      </c>
      <c r="I17" s="173">
        <v>10886</v>
      </c>
      <c r="J17" s="1082">
        <v>11594</v>
      </c>
      <c r="K17" s="173">
        <v>452</v>
      </c>
      <c r="L17" s="174">
        <v>381</v>
      </c>
    </row>
    <row r="18" spans="1:13" ht="14.25" customHeight="1">
      <c r="B18" s="1085" t="s">
        <v>470</v>
      </c>
      <c r="C18" s="173">
        <v>28</v>
      </c>
      <c r="D18" s="1082">
        <v>5179</v>
      </c>
      <c r="E18" s="173">
        <v>8159</v>
      </c>
      <c r="F18" s="1082">
        <v>448</v>
      </c>
      <c r="G18" s="173">
        <v>229</v>
      </c>
      <c r="H18" s="1082">
        <v>829</v>
      </c>
      <c r="I18" s="173">
        <v>6044</v>
      </c>
      <c r="J18" s="1082">
        <v>8204</v>
      </c>
      <c r="K18" s="173">
        <v>1601</v>
      </c>
      <c r="L18" s="174">
        <v>962</v>
      </c>
    </row>
    <row r="19" spans="1:13" ht="15" customHeight="1">
      <c r="B19" s="209" t="s">
        <v>630</v>
      </c>
      <c r="C19" s="179">
        <f>SUM(C5:C18)</f>
        <v>178</v>
      </c>
      <c r="D19" s="179">
        <f t="shared" ref="D19:L19" si="0">SUM(D5:D18)</f>
        <v>223824</v>
      </c>
      <c r="E19" s="179">
        <f t="shared" si="0"/>
        <v>337260</v>
      </c>
      <c r="F19" s="179">
        <f t="shared" si="0"/>
        <v>9574</v>
      </c>
      <c r="G19" s="179">
        <f t="shared" si="0"/>
        <v>3649</v>
      </c>
      <c r="H19" s="179">
        <f t="shared" si="0"/>
        <v>12302</v>
      </c>
      <c r="I19" s="179">
        <f t="shared" si="0"/>
        <v>489058</v>
      </c>
      <c r="J19" s="179">
        <f t="shared" si="0"/>
        <v>568264</v>
      </c>
      <c r="K19" s="179">
        <f t="shared" si="0"/>
        <v>67240</v>
      </c>
      <c r="L19" s="179">
        <f t="shared" si="0"/>
        <v>49604</v>
      </c>
    </row>
    <row r="20" spans="1:13" ht="10.5" customHeight="1">
      <c r="A20" s="177"/>
      <c r="B20" s="232"/>
      <c r="C20" s="24"/>
      <c r="D20" s="220"/>
      <c r="E20" s="220"/>
      <c r="F20" s="220"/>
      <c r="G20" s="220"/>
      <c r="H20" s="575"/>
      <c r="I20" s="575"/>
      <c r="J20" s="575"/>
      <c r="K20" s="575"/>
      <c r="L20" s="575"/>
      <c r="M20" s="177"/>
    </row>
    <row r="21" spans="1:13" ht="28.5" customHeight="1">
      <c r="B21" s="263" t="s">
        <v>117</v>
      </c>
      <c r="C21" s="1193" t="s">
        <v>1104</v>
      </c>
      <c r="D21" s="1191"/>
      <c r="E21" s="1191"/>
      <c r="F21" s="1191"/>
      <c r="G21" s="1191"/>
      <c r="H21" s="1191"/>
      <c r="I21" s="1191"/>
      <c r="J21" s="1191"/>
      <c r="K21" s="1191"/>
      <c r="L21" s="1192"/>
      <c r="M21" s="177"/>
    </row>
    <row r="22" spans="1:13" ht="12" customHeight="1">
      <c r="B22" s="207">
        <v>10</v>
      </c>
      <c r="C22" s="190" t="s">
        <v>893</v>
      </c>
      <c r="D22" s="826"/>
      <c r="E22" s="826"/>
      <c r="F22" s="826"/>
      <c r="G22" s="826"/>
      <c r="H22" s="826"/>
      <c r="I22" s="826"/>
      <c r="J22" s="826"/>
      <c r="K22" s="826"/>
      <c r="L22" s="821"/>
      <c r="M22" s="177"/>
    </row>
    <row r="23" spans="1:13" ht="12" customHeight="1">
      <c r="B23" s="250">
        <v>12</v>
      </c>
      <c r="C23" s="190" t="s">
        <v>894</v>
      </c>
      <c r="D23" s="190"/>
      <c r="E23" s="190"/>
      <c r="F23" s="190"/>
      <c r="G23" s="190"/>
      <c r="H23" s="190"/>
      <c r="I23" s="190"/>
      <c r="J23" s="190"/>
      <c r="K23" s="190"/>
      <c r="L23" s="431"/>
      <c r="M23" s="177"/>
    </row>
    <row r="24" spans="1:13" ht="12" customHeight="1">
      <c r="B24" s="33">
        <v>13</v>
      </c>
      <c r="C24" s="76" t="s">
        <v>895</v>
      </c>
      <c r="D24" s="190"/>
      <c r="E24" s="190"/>
      <c r="F24" s="190"/>
      <c r="G24" s="190"/>
      <c r="H24" s="190"/>
      <c r="I24" s="190"/>
      <c r="J24" s="190"/>
      <c r="K24" s="190"/>
      <c r="L24" s="431"/>
    </row>
    <row r="25" spans="1:13" ht="12" customHeight="1">
      <c r="B25" s="828">
        <v>16</v>
      </c>
      <c r="C25" s="76" t="s">
        <v>898</v>
      </c>
      <c r="D25" s="823"/>
      <c r="E25" s="823"/>
      <c r="F25" s="823"/>
      <c r="G25" s="823"/>
      <c r="H25" s="823"/>
      <c r="I25" s="823"/>
      <c r="J25" s="823"/>
      <c r="K25" s="190"/>
      <c r="L25" s="431"/>
    </row>
    <row r="26" spans="1:13" ht="12" customHeight="1">
      <c r="B26" s="33">
        <v>17</v>
      </c>
      <c r="C26" s="76" t="s">
        <v>899</v>
      </c>
      <c r="D26" s="190"/>
      <c r="E26" s="190"/>
      <c r="F26" s="190"/>
      <c r="G26" s="190"/>
      <c r="H26" s="190"/>
      <c r="I26" s="190"/>
      <c r="J26" s="190"/>
      <c r="K26" s="190"/>
      <c r="L26" s="431"/>
    </row>
    <row r="27" spans="1:13" ht="12" customHeight="1">
      <c r="B27" s="33">
        <v>20</v>
      </c>
      <c r="C27" s="76" t="s">
        <v>689</v>
      </c>
      <c r="D27" s="190"/>
      <c r="E27" s="190"/>
      <c r="F27" s="190"/>
      <c r="G27" s="190"/>
      <c r="H27" s="190"/>
      <c r="I27" s="190"/>
      <c r="J27" s="190"/>
      <c r="K27" s="190"/>
      <c r="L27" s="431"/>
    </row>
    <row r="28" spans="1:13" ht="12" customHeight="1">
      <c r="B28" s="33">
        <v>22</v>
      </c>
      <c r="C28" s="190" t="s">
        <v>900</v>
      </c>
      <c r="D28" s="190"/>
      <c r="E28" s="190"/>
      <c r="F28" s="190"/>
      <c r="G28" s="190"/>
      <c r="H28" s="190"/>
      <c r="I28" s="190"/>
      <c r="J28" s="190"/>
      <c r="K28" s="190"/>
      <c r="L28" s="431"/>
    </row>
    <row r="29" spans="1:13" ht="12" customHeight="1">
      <c r="B29" s="33">
        <v>23</v>
      </c>
      <c r="C29" s="190" t="s">
        <v>901</v>
      </c>
      <c r="D29" s="190"/>
      <c r="E29" s="190"/>
      <c r="F29" s="190"/>
      <c r="G29" s="190"/>
      <c r="H29" s="190"/>
      <c r="I29" s="190"/>
      <c r="J29" s="190"/>
      <c r="K29" s="190"/>
      <c r="L29" s="431"/>
    </row>
    <row r="30" spans="1:13" ht="12" customHeight="1">
      <c r="B30" s="33">
        <v>24</v>
      </c>
      <c r="C30" s="76" t="s">
        <v>902</v>
      </c>
      <c r="D30" s="190"/>
      <c r="E30" s="190"/>
      <c r="F30" s="190"/>
      <c r="G30" s="190"/>
      <c r="H30" s="190"/>
      <c r="I30" s="190"/>
      <c r="J30" s="190"/>
      <c r="K30" s="190"/>
      <c r="L30" s="431"/>
    </row>
    <row r="31" spans="1:13" ht="12" customHeight="1">
      <c r="B31" s="33">
        <v>25</v>
      </c>
      <c r="C31" s="76" t="s">
        <v>690</v>
      </c>
      <c r="D31" s="190"/>
      <c r="E31" s="190"/>
      <c r="F31" s="190"/>
      <c r="G31" s="190"/>
      <c r="H31" s="190"/>
      <c r="I31" s="190"/>
      <c r="J31" s="190"/>
      <c r="K31" s="190"/>
      <c r="L31" s="431"/>
    </row>
    <row r="32" spans="1:13" ht="12" customHeight="1">
      <c r="B32" s="663">
        <v>27</v>
      </c>
      <c r="C32" s="1086" t="s">
        <v>1682</v>
      </c>
      <c r="D32" s="1083"/>
      <c r="E32" s="1083"/>
      <c r="F32" s="1083"/>
      <c r="G32" s="1083"/>
      <c r="H32" s="1083"/>
      <c r="I32" s="1083"/>
      <c r="J32" s="1083"/>
      <c r="K32" s="1083"/>
      <c r="L32" s="431"/>
    </row>
    <row r="33" spans="2:12" ht="12" customHeight="1">
      <c r="B33" s="33">
        <v>28</v>
      </c>
      <c r="C33" s="76" t="s">
        <v>229</v>
      </c>
      <c r="D33" s="190"/>
      <c r="E33" s="190"/>
      <c r="F33" s="190"/>
      <c r="G33" s="190"/>
      <c r="H33" s="190"/>
      <c r="I33" s="190"/>
      <c r="J33" s="190"/>
      <c r="K33" s="190"/>
      <c r="L33" s="431"/>
    </row>
    <row r="34" spans="2:12" ht="12" customHeight="1">
      <c r="B34" s="33">
        <v>31</v>
      </c>
      <c r="C34" s="1471" t="s">
        <v>755</v>
      </c>
      <c r="D34" s="1472"/>
      <c r="E34" s="1472"/>
      <c r="F34" s="190"/>
      <c r="G34" s="190"/>
      <c r="H34" s="190"/>
      <c r="I34" s="190"/>
      <c r="J34" s="190"/>
      <c r="K34" s="190"/>
      <c r="L34" s="431"/>
    </row>
    <row r="35" spans="2:12" ht="12" customHeight="1">
      <c r="B35" s="41">
        <v>52</v>
      </c>
      <c r="C35" s="100" t="s">
        <v>903</v>
      </c>
      <c r="D35" s="100"/>
      <c r="E35" s="100"/>
      <c r="F35" s="100"/>
      <c r="G35" s="100"/>
      <c r="H35" s="100"/>
      <c r="I35" s="100"/>
      <c r="J35" s="100"/>
      <c r="K35" s="100"/>
      <c r="L35" s="822"/>
    </row>
    <row r="36" spans="2:12" ht="13.5" customHeight="1">
      <c r="B36" s="651" t="s">
        <v>230</v>
      </c>
      <c r="C36" s="651"/>
      <c r="D36" s="651"/>
      <c r="E36" s="651"/>
      <c r="F36" s="703"/>
      <c r="G36" s="651"/>
      <c r="H36" s="651"/>
      <c r="I36" s="753"/>
      <c r="J36" s="753"/>
      <c r="K36" s="753"/>
      <c r="L36" s="722" t="s">
        <v>865</v>
      </c>
    </row>
  </sheetData>
  <mergeCells count="4">
    <mergeCell ref="C34:E34"/>
    <mergeCell ref="B1:L1"/>
    <mergeCell ref="B2:L2"/>
    <mergeCell ref="C21:L21"/>
  </mergeCells>
  <phoneticPr fontId="0" type="noConversion"/>
  <printOptions horizontalCentered="1" verticalCentered="1"/>
  <pageMargins left="0.1" right="0.1" top="7.0000000000000007E-2" bottom="0.15" header="0.08" footer="0.14000000000000001"/>
  <pageSetup paperSize="9" orientation="landscape" blackAndWhite="1" r:id="rId1"/>
  <headerFooter alignWithMargins="0"/>
</worksheet>
</file>

<file path=xl/worksheets/sheet59.xml><?xml version="1.0" encoding="utf-8"?>
<worksheet xmlns="http://schemas.openxmlformats.org/spreadsheetml/2006/main" xmlns:r="http://schemas.openxmlformats.org/officeDocument/2006/relationships">
  <sheetPr codeName="Sheet69"/>
  <dimension ref="A1:J25"/>
  <sheetViews>
    <sheetView topLeftCell="A7" workbookViewId="0">
      <selection activeCell="M30" sqref="M30"/>
    </sheetView>
  </sheetViews>
  <sheetFormatPr defaultRowHeight="12.75"/>
  <cols>
    <col min="1" max="1" width="14.42578125" style="172" customWidth="1"/>
    <col min="2" max="9" width="14.5703125" style="172" customWidth="1"/>
    <col min="10" max="16384" width="9.140625" style="172"/>
  </cols>
  <sheetData>
    <row r="1" spans="1:10" ht="13.5" customHeight="1">
      <c r="A1" s="1181" t="s">
        <v>1573</v>
      </c>
      <c r="B1" s="1181"/>
      <c r="C1" s="1181"/>
      <c r="D1" s="1181"/>
      <c r="E1" s="1181"/>
      <c r="F1" s="1181"/>
      <c r="G1" s="1181"/>
      <c r="H1" s="1181"/>
      <c r="I1" s="1181"/>
    </row>
    <row r="2" spans="1:10" ht="18" customHeight="1">
      <c r="A2" s="1463" t="str">
        <f>CONCATENATE("Production in Sericulture Industry in the district of ",District!A1)</f>
        <v>Production in Sericulture Industry in the district of Bankura</v>
      </c>
      <c r="B2" s="1463"/>
      <c r="C2" s="1463"/>
      <c r="D2" s="1463"/>
      <c r="E2" s="1463"/>
      <c r="F2" s="1463"/>
      <c r="G2" s="1463"/>
      <c r="H2" s="1463"/>
      <c r="I2" s="1463"/>
      <c r="J2" s="12"/>
    </row>
    <row r="3" spans="1:10" ht="18" customHeight="1">
      <c r="A3" s="1186" t="s">
        <v>304</v>
      </c>
      <c r="B3" s="1193" t="s">
        <v>1178</v>
      </c>
      <c r="C3" s="1191"/>
      <c r="D3" s="1191"/>
      <c r="E3" s="1192"/>
      <c r="F3" s="1191" t="s">
        <v>715</v>
      </c>
      <c r="G3" s="1191"/>
      <c r="H3" s="1191"/>
      <c r="I3" s="1192"/>
      <c r="J3" s="177"/>
    </row>
    <row r="4" spans="1:10" ht="40.5" customHeight="1">
      <c r="A4" s="1242"/>
      <c r="B4" s="263" t="s">
        <v>67</v>
      </c>
      <c r="C4" s="447" t="s">
        <v>231</v>
      </c>
      <c r="D4" s="263" t="s">
        <v>232</v>
      </c>
      <c r="E4" s="447" t="s">
        <v>233</v>
      </c>
      <c r="F4" s="212" t="s">
        <v>1180</v>
      </c>
      <c r="G4" s="232" t="s">
        <v>1181</v>
      </c>
      <c r="H4" s="607" t="s">
        <v>1182</v>
      </c>
      <c r="I4" s="608" t="s">
        <v>1183</v>
      </c>
      <c r="J4" s="177"/>
    </row>
    <row r="5" spans="1:10" ht="18" customHeight="1">
      <c r="A5" s="221" t="s">
        <v>418</v>
      </c>
      <c r="B5" s="213" t="s">
        <v>419</v>
      </c>
      <c r="C5" s="222" t="s">
        <v>420</v>
      </c>
      <c r="D5" s="213" t="s">
        <v>421</v>
      </c>
      <c r="E5" s="222" t="s">
        <v>422</v>
      </c>
      <c r="F5" s="213" t="s">
        <v>423</v>
      </c>
      <c r="G5" s="222" t="s">
        <v>424</v>
      </c>
      <c r="H5" s="213" t="s">
        <v>440</v>
      </c>
      <c r="I5" s="214" t="s">
        <v>441</v>
      </c>
      <c r="J5" s="595"/>
    </row>
    <row r="6" spans="1:10" ht="20.100000000000001" customHeight="1">
      <c r="A6" s="226" t="str">
        <f>District!B16</f>
        <v>2009-10</v>
      </c>
      <c r="B6" s="183">
        <v>1.7330000000000001</v>
      </c>
      <c r="C6" s="189">
        <v>17.709</v>
      </c>
      <c r="D6" s="371" t="s">
        <v>1127</v>
      </c>
      <c r="E6" s="373" t="s">
        <v>1127</v>
      </c>
      <c r="F6" s="281">
        <v>313</v>
      </c>
      <c r="G6" s="293">
        <v>26194</v>
      </c>
      <c r="H6" s="371" t="s">
        <v>1127</v>
      </c>
      <c r="I6" s="417" t="s">
        <v>1127</v>
      </c>
    </row>
    <row r="7" spans="1:10" ht="20.100000000000001" customHeight="1">
      <c r="A7" s="226" t="str">
        <f>District!B17</f>
        <v>2010-11</v>
      </c>
      <c r="B7" s="183">
        <v>2.3359999999999999</v>
      </c>
      <c r="C7" s="189">
        <v>19.716999999999999</v>
      </c>
      <c r="D7" s="371" t="s">
        <v>1127</v>
      </c>
      <c r="E7" s="373" t="s">
        <v>1127</v>
      </c>
      <c r="F7" s="281">
        <v>585</v>
      </c>
      <c r="G7" s="293">
        <v>29423</v>
      </c>
      <c r="H7" s="371" t="s">
        <v>1127</v>
      </c>
      <c r="I7" s="417" t="s">
        <v>1127</v>
      </c>
    </row>
    <row r="8" spans="1:10" ht="20.100000000000001" customHeight="1">
      <c r="A8" s="226" t="str">
        <f>District!B18</f>
        <v>2011-12</v>
      </c>
      <c r="B8" s="934">
        <v>2.09</v>
      </c>
      <c r="C8" s="189">
        <v>19.216000000000001</v>
      </c>
      <c r="D8" s="371" t="s">
        <v>1127</v>
      </c>
      <c r="E8" s="373" t="s">
        <v>1127</v>
      </c>
      <c r="F8" s="281">
        <v>523</v>
      </c>
      <c r="G8" s="293">
        <v>31056</v>
      </c>
      <c r="H8" s="371" t="s">
        <v>1127</v>
      </c>
      <c r="I8" s="417" t="s">
        <v>1127</v>
      </c>
    </row>
    <row r="9" spans="1:10" ht="20.100000000000001" customHeight="1">
      <c r="A9" s="226" t="str">
        <f>District!B19</f>
        <v>2012-13</v>
      </c>
      <c r="B9" s="934">
        <v>2.4392510000000001</v>
      </c>
      <c r="C9" s="189">
        <v>24.337</v>
      </c>
      <c r="D9" s="371" t="s">
        <v>1127</v>
      </c>
      <c r="E9" s="373" t="s">
        <v>1127</v>
      </c>
      <c r="F9" s="281">
        <v>611.03200000000004</v>
      </c>
      <c r="G9" s="293">
        <v>51841.724999999999</v>
      </c>
      <c r="H9" s="371" t="s">
        <v>1127</v>
      </c>
      <c r="I9" s="371" t="s">
        <v>1127</v>
      </c>
    </row>
    <row r="10" spans="1:10" ht="20.100000000000001" customHeight="1">
      <c r="A10" s="463" t="str">
        <f>District!B20</f>
        <v>2013-14</v>
      </c>
      <c r="B10" s="878">
        <v>2.0380500000000001</v>
      </c>
      <c r="C10" s="978">
        <v>18.013999999999999</v>
      </c>
      <c r="D10" s="375" t="s">
        <v>1127</v>
      </c>
      <c r="E10" s="583" t="s">
        <v>1127</v>
      </c>
      <c r="F10" s="283">
        <v>943.99</v>
      </c>
      <c r="G10" s="295">
        <v>47952.375</v>
      </c>
      <c r="H10" s="375" t="s">
        <v>1127</v>
      </c>
      <c r="I10" s="452" t="s">
        <v>1127</v>
      </c>
    </row>
    <row r="11" spans="1:10">
      <c r="A11" s="1473" t="s">
        <v>234</v>
      </c>
      <c r="B11" s="1474"/>
      <c r="C11" s="1474"/>
      <c r="D11" s="609"/>
      <c r="E11" s="609"/>
      <c r="F11" s="609"/>
      <c r="G11" s="61"/>
      <c r="H11" s="2"/>
      <c r="I11" s="703" t="str">
        <f>CONCATENATE("Source : Dy. Director of Sericulture, ",District!A1)</f>
        <v>Source : Dy. Director of Sericulture, Bankura</v>
      </c>
    </row>
    <row r="12" spans="1:10">
      <c r="A12" s="1475"/>
      <c r="B12" s="1475"/>
      <c r="C12" s="1475"/>
      <c r="D12" s="609"/>
      <c r="E12" s="609"/>
      <c r="F12" s="609"/>
      <c r="G12" s="61"/>
      <c r="H12" s="2"/>
      <c r="I12" s="18"/>
    </row>
    <row r="13" spans="1:10">
      <c r="A13" s="5"/>
      <c r="B13" s="609"/>
      <c r="C13" s="609"/>
      <c r="D13" s="609"/>
      <c r="E13" s="609"/>
      <c r="F13" s="609"/>
      <c r="G13" s="61"/>
      <c r="H13" s="2"/>
      <c r="I13" s="18"/>
    </row>
    <row r="14" spans="1:10">
      <c r="B14" s="18"/>
      <c r="C14" s="18"/>
      <c r="D14" s="18"/>
      <c r="E14" s="18"/>
      <c r="F14" s="18"/>
      <c r="G14" s="18"/>
      <c r="H14" s="2"/>
      <c r="I14" s="2"/>
    </row>
    <row r="15" spans="1:10" ht="13.5" customHeight="1">
      <c r="B15" s="1181" t="s">
        <v>1574</v>
      </c>
      <c r="C15" s="1181"/>
      <c r="D15" s="1181"/>
      <c r="E15" s="1181"/>
      <c r="F15" s="1181"/>
      <c r="G15" s="1181"/>
      <c r="H15" s="1181"/>
      <c r="I15" s="11"/>
    </row>
    <row r="16" spans="1:10" s="206" customFormat="1" ht="33" customHeight="1">
      <c r="A16" s="172"/>
      <c r="B16" s="1427" t="s">
        <v>1263</v>
      </c>
      <c r="C16" s="1427"/>
      <c r="D16" s="1427"/>
      <c r="E16" s="1427"/>
      <c r="F16" s="1427"/>
      <c r="G16" s="1427"/>
      <c r="H16" s="1427"/>
      <c r="I16" s="614"/>
    </row>
    <row r="17" spans="1:9" ht="45" customHeight="1">
      <c r="A17" s="206"/>
      <c r="B17" s="56" t="s">
        <v>304</v>
      </c>
      <c r="C17" s="1264" t="s">
        <v>1264</v>
      </c>
      <c r="D17" s="1185"/>
      <c r="E17" s="1264" t="s">
        <v>104</v>
      </c>
      <c r="F17" s="1265"/>
      <c r="G17" s="1237" t="s">
        <v>1335</v>
      </c>
      <c r="H17" s="1476"/>
      <c r="I17" s="24"/>
    </row>
    <row r="18" spans="1:9" ht="20.100000000000001" customHeight="1">
      <c r="B18" s="221" t="s">
        <v>418</v>
      </c>
      <c r="C18" s="1201" t="s">
        <v>419</v>
      </c>
      <c r="D18" s="1257"/>
      <c r="E18" s="1201" t="s">
        <v>420</v>
      </c>
      <c r="F18" s="1257"/>
      <c r="G18" s="1201" t="s">
        <v>421</v>
      </c>
      <c r="H18" s="1257"/>
    </row>
    <row r="19" spans="1:9" ht="20.100000000000001" customHeight="1">
      <c r="B19" s="644" t="str">
        <f>District!B16</f>
        <v>2009-10</v>
      </c>
      <c r="C19" s="1375">
        <v>2</v>
      </c>
      <c r="D19" s="1376"/>
      <c r="E19" s="1186" t="s">
        <v>1127</v>
      </c>
      <c r="F19" s="1184"/>
      <c r="G19" s="1186" t="s">
        <v>1127</v>
      </c>
      <c r="H19" s="1184"/>
    </row>
    <row r="20" spans="1:9" ht="20.100000000000001" customHeight="1">
      <c r="B20" s="110" t="str">
        <f>District!B17</f>
        <v>2010-11</v>
      </c>
      <c r="C20" s="1248">
        <v>2</v>
      </c>
      <c r="D20" s="1409"/>
      <c r="E20" s="1188" t="s">
        <v>1127</v>
      </c>
      <c r="F20" s="1200"/>
      <c r="G20" s="1188" t="s">
        <v>1127</v>
      </c>
      <c r="H20" s="1200"/>
    </row>
    <row r="21" spans="1:9" ht="20.100000000000001" customHeight="1">
      <c r="B21" s="110" t="str">
        <f>District!B18</f>
        <v>2011-12</v>
      </c>
      <c r="C21" s="1248">
        <v>2</v>
      </c>
      <c r="D21" s="1409"/>
      <c r="E21" s="1188" t="s">
        <v>1127</v>
      </c>
      <c r="F21" s="1200"/>
      <c r="G21" s="1188" t="s">
        <v>1127</v>
      </c>
      <c r="H21" s="1200"/>
    </row>
    <row r="22" spans="1:9" ht="20.100000000000001" customHeight="1">
      <c r="B22" s="110" t="str">
        <f>District!B19</f>
        <v>2012-13</v>
      </c>
      <c r="C22" s="1249">
        <v>2</v>
      </c>
      <c r="D22" s="1409"/>
      <c r="E22" s="1188" t="s">
        <v>1127</v>
      </c>
      <c r="F22" s="1200"/>
      <c r="G22" s="1188" t="s">
        <v>1127</v>
      </c>
      <c r="H22" s="1200"/>
    </row>
    <row r="23" spans="1:9" ht="20.100000000000001" customHeight="1">
      <c r="B23" s="251" t="str">
        <f>District!B20</f>
        <v>2013-14</v>
      </c>
      <c r="C23" s="1269">
        <v>2</v>
      </c>
      <c r="D23" s="1416"/>
      <c r="E23" s="1242" t="s">
        <v>1127</v>
      </c>
      <c r="F23" s="1185"/>
      <c r="G23" s="1242" t="s">
        <v>1127</v>
      </c>
      <c r="H23" s="1185"/>
    </row>
    <row r="24" spans="1:9" ht="12.75" customHeight="1">
      <c r="B24" s="743" t="s">
        <v>235</v>
      </c>
      <c r="C24" s="61"/>
      <c r="F24" s="721" t="s">
        <v>1028</v>
      </c>
      <c r="G24" s="746" t="s">
        <v>1105</v>
      </c>
    </row>
    <row r="25" spans="1:9" ht="12" customHeight="1">
      <c r="B25" s="5"/>
      <c r="F25" s="651"/>
      <c r="G25" s="745" t="s">
        <v>853</v>
      </c>
    </row>
  </sheetData>
  <mergeCells count="29">
    <mergeCell ref="G22:H22"/>
    <mergeCell ref="G23:H23"/>
    <mergeCell ref="B15:H15"/>
    <mergeCell ref="G19:H19"/>
    <mergeCell ref="G18:H18"/>
    <mergeCell ref="G20:H20"/>
    <mergeCell ref="G21:H21"/>
    <mergeCell ref="C23:D23"/>
    <mergeCell ref="E17:F17"/>
    <mergeCell ref="G17:H17"/>
    <mergeCell ref="B16:H16"/>
    <mergeCell ref="E18:F18"/>
    <mergeCell ref="E19:F19"/>
    <mergeCell ref="E20:F20"/>
    <mergeCell ref="C17:D17"/>
    <mergeCell ref="C18:D18"/>
    <mergeCell ref="E23:F23"/>
    <mergeCell ref="C19:D19"/>
    <mergeCell ref="C20:D20"/>
    <mergeCell ref="C21:D21"/>
    <mergeCell ref="C22:D22"/>
    <mergeCell ref="E22:F22"/>
    <mergeCell ref="E21:F21"/>
    <mergeCell ref="A11:C12"/>
    <mergeCell ref="A1:I1"/>
    <mergeCell ref="A2:I2"/>
    <mergeCell ref="A3:A4"/>
    <mergeCell ref="B3:E3"/>
    <mergeCell ref="F3:I3"/>
  </mergeCells>
  <phoneticPr fontId="0" type="noConversion"/>
  <printOptions horizontalCentered="1" verticalCentered="1"/>
  <pageMargins left="0.1" right="0.1" top="0.1" bottom="0.1" header="0.7" footer="0.1"/>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sheetPr codeName="Sheet3"/>
  <dimension ref="A1:O31"/>
  <sheetViews>
    <sheetView topLeftCell="A10" workbookViewId="0">
      <selection activeCell="M30" sqref="M30"/>
    </sheetView>
  </sheetViews>
  <sheetFormatPr defaultRowHeight="12.75"/>
  <cols>
    <col min="1" max="1" width="15" style="172" customWidth="1"/>
    <col min="2" max="8" width="16" style="172" customWidth="1"/>
    <col min="9" max="16384" width="9.140625" style="172"/>
  </cols>
  <sheetData>
    <row r="1" spans="1:15" ht="14.25" customHeight="1">
      <c r="A1" s="1181" t="s">
        <v>1609</v>
      </c>
      <c r="B1" s="1183"/>
      <c r="C1" s="1183"/>
      <c r="D1" s="1183"/>
      <c r="E1" s="1183"/>
      <c r="F1" s="1183"/>
      <c r="G1" s="1183"/>
      <c r="H1" s="1183"/>
    </row>
    <row r="2" spans="1:15" s="206" customFormat="1" ht="22.5" customHeight="1">
      <c r="A2" s="1189" t="str">
        <f>CONCATENATE("Geographical Location of  ",District!$A$1," district and its headquarters")</f>
        <v>Geographical Location of  Bankura district and its headquarters</v>
      </c>
      <c r="B2" s="1189"/>
      <c r="C2" s="1189"/>
      <c r="D2" s="1189"/>
      <c r="E2" s="1189"/>
      <c r="F2" s="1189"/>
      <c r="G2" s="1189"/>
      <c r="H2" s="1189"/>
    </row>
    <row r="3" spans="1:15" ht="18.75" customHeight="1">
      <c r="A3" s="1194" t="s">
        <v>1003</v>
      </c>
      <c r="B3" s="1191" t="s">
        <v>412</v>
      </c>
      <c r="C3" s="1192"/>
      <c r="D3" s="1193" t="s">
        <v>413</v>
      </c>
      <c r="E3" s="1192"/>
      <c r="F3" s="1194" t="s">
        <v>886</v>
      </c>
      <c r="G3" s="1196" t="s">
        <v>412</v>
      </c>
      <c r="H3" s="1184" t="s">
        <v>413</v>
      </c>
    </row>
    <row r="4" spans="1:15" ht="20.25" customHeight="1">
      <c r="A4" s="1195"/>
      <c r="B4" s="58" t="s">
        <v>414</v>
      </c>
      <c r="C4" s="39" t="s">
        <v>415</v>
      </c>
      <c r="D4" s="212" t="s">
        <v>416</v>
      </c>
      <c r="E4" s="39" t="s">
        <v>417</v>
      </c>
      <c r="F4" s="1195"/>
      <c r="G4" s="1197"/>
      <c r="H4" s="1185"/>
    </row>
    <row r="5" spans="1:15" ht="28.5" customHeight="1">
      <c r="A5" s="213" t="s">
        <v>418</v>
      </c>
      <c r="B5" s="213" t="s">
        <v>419</v>
      </c>
      <c r="C5" s="214" t="s">
        <v>420</v>
      </c>
      <c r="D5" s="215" t="s">
        <v>421</v>
      </c>
      <c r="E5" s="216" t="s">
        <v>422</v>
      </c>
      <c r="F5" s="215" t="s">
        <v>423</v>
      </c>
      <c r="G5" s="215" t="s">
        <v>424</v>
      </c>
      <c r="H5" s="216" t="s">
        <v>440</v>
      </c>
    </row>
    <row r="6" spans="1:15" ht="41.25" customHeight="1">
      <c r="A6" s="212" t="str">
        <f>District!$A$1</f>
        <v>Bankura</v>
      </c>
      <c r="B6" s="217" t="s">
        <v>1002</v>
      </c>
      <c r="C6" s="218" t="s">
        <v>1004</v>
      </c>
      <c r="D6" s="217" t="s">
        <v>1005</v>
      </c>
      <c r="E6" s="218" t="s">
        <v>1006</v>
      </c>
      <c r="F6" s="179" t="s">
        <v>1188</v>
      </c>
      <c r="G6" s="217" t="s">
        <v>1007</v>
      </c>
      <c r="H6" s="218" t="s">
        <v>1008</v>
      </c>
    </row>
    <row r="7" spans="1:15">
      <c r="B7" s="177"/>
      <c r="D7" s="177"/>
      <c r="E7" s="1190" t="s">
        <v>739</v>
      </c>
      <c r="F7" s="1190"/>
      <c r="G7" s="1190"/>
      <c r="H7" s="1190"/>
    </row>
    <row r="8" spans="1:15">
      <c r="B8" s="177"/>
      <c r="D8" s="177"/>
      <c r="E8" s="18"/>
      <c r="F8" s="18"/>
      <c r="G8" s="18"/>
      <c r="H8" s="18"/>
    </row>
    <row r="9" spans="1:15" ht="14.25" customHeight="1">
      <c r="A9" s="1181" t="s">
        <v>1610</v>
      </c>
      <c r="B9" s="1181"/>
      <c r="C9" s="1181"/>
      <c r="D9" s="1181"/>
      <c r="E9" s="1181"/>
      <c r="F9" s="1181"/>
      <c r="G9" s="1181"/>
      <c r="H9" s="1181"/>
      <c r="I9" s="24"/>
      <c r="J9" s="24"/>
      <c r="K9" s="24"/>
    </row>
    <row r="10" spans="1:15" s="206" customFormat="1" ht="14.25" customHeight="1">
      <c r="A10" s="1189" t="str">
        <f>CONCATENATE("Monthly Rainfall in the district of ",District!$A$1)</f>
        <v>Monthly Rainfall in the district of Bankura</v>
      </c>
      <c r="B10" s="1189"/>
      <c r="C10" s="1189"/>
      <c r="D10" s="1189"/>
      <c r="E10" s="1189"/>
      <c r="F10" s="1189"/>
      <c r="G10" s="1189"/>
      <c r="H10" s="1189"/>
    </row>
    <row r="11" spans="1:15">
      <c r="A11" s="15"/>
      <c r="C11" s="219"/>
      <c r="D11" s="219"/>
      <c r="E11" s="219"/>
      <c r="F11" s="219"/>
      <c r="G11" s="219"/>
      <c r="H11" s="219" t="s">
        <v>476</v>
      </c>
    </row>
    <row r="12" spans="1:15" ht="15.95" customHeight="1">
      <c r="A12" s="1186" t="s">
        <v>425</v>
      </c>
      <c r="B12" s="1187"/>
      <c r="C12" s="207" t="s">
        <v>123</v>
      </c>
      <c r="D12" s="1193" t="s">
        <v>426</v>
      </c>
      <c r="E12" s="1191"/>
      <c r="F12" s="1191"/>
      <c r="G12" s="1191"/>
      <c r="H12" s="1192"/>
    </row>
    <row r="13" spans="1:15" ht="14.25" customHeight="1">
      <c r="A13" s="1188"/>
      <c r="B13" s="1183"/>
      <c r="C13" s="41">
        <f>H13</f>
        <v>2014</v>
      </c>
      <c r="D13" s="39">
        <f>District!B10</f>
        <v>2010</v>
      </c>
      <c r="E13" s="39">
        <f>District!C10</f>
        <v>2011</v>
      </c>
      <c r="F13" s="39">
        <f>District!D10</f>
        <v>2012</v>
      </c>
      <c r="G13" s="39">
        <f>District!E10</f>
        <v>2013</v>
      </c>
      <c r="H13" s="39">
        <f>District!F10</f>
        <v>2014</v>
      </c>
      <c r="L13"/>
      <c r="M13"/>
      <c r="N13"/>
      <c r="O13"/>
    </row>
    <row r="14" spans="1:15" ht="15.95" customHeight="1">
      <c r="A14" s="1201" t="s">
        <v>418</v>
      </c>
      <c r="B14" s="1202"/>
      <c r="C14" s="213" t="s">
        <v>419</v>
      </c>
      <c r="D14" s="213" t="s">
        <v>420</v>
      </c>
      <c r="E14" s="222" t="s">
        <v>421</v>
      </c>
      <c r="F14" s="213" t="s">
        <v>422</v>
      </c>
      <c r="G14" s="222" t="s">
        <v>423</v>
      </c>
      <c r="H14" s="213" t="s">
        <v>424</v>
      </c>
      <c r="L14"/>
      <c r="M14"/>
      <c r="N14"/>
      <c r="O14"/>
    </row>
    <row r="15" spans="1:15" ht="18.95" customHeight="1">
      <c r="A15" s="1203" t="s">
        <v>427</v>
      </c>
      <c r="B15" s="1204"/>
      <c r="C15" s="223">
        <v>11</v>
      </c>
      <c r="D15" s="224" t="s">
        <v>1127</v>
      </c>
      <c r="E15" s="225">
        <v>1</v>
      </c>
      <c r="F15" s="225">
        <v>33</v>
      </c>
      <c r="G15" s="877">
        <v>2.4</v>
      </c>
      <c r="H15" s="877">
        <v>2</v>
      </c>
      <c r="L15"/>
      <c r="M15"/>
      <c r="N15"/>
      <c r="O15"/>
    </row>
    <row r="16" spans="1:15" ht="18.95" customHeight="1">
      <c r="A16" s="1205" t="s">
        <v>428</v>
      </c>
      <c r="B16" s="1206"/>
      <c r="C16" s="183">
        <v>26</v>
      </c>
      <c r="D16" s="224">
        <v>9</v>
      </c>
      <c r="E16" s="224">
        <v>1</v>
      </c>
      <c r="F16" s="224">
        <v>16</v>
      </c>
      <c r="G16" s="560">
        <v>14.9</v>
      </c>
      <c r="H16" s="560">
        <v>37</v>
      </c>
      <c r="L16"/>
      <c r="M16"/>
      <c r="N16"/>
      <c r="O16"/>
    </row>
    <row r="17" spans="1:15" ht="18.95" customHeight="1">
      <c r="A17" s="1188" t="s">
        <v>429</v>
      </c>
      <c r="B17" s="1200"/>
      <c r="C17" s="183">
        <v>29</v>
      </c>
      <c r="D17" s="224">
        <v>3</v>
      </c>
      <c r="E17" s="224">
        <v>49</v>
      </c>
      <c r="F17" s="224">
        <v>6</v>
      </c>
      <c r="G17" s="560">
        <v>9.6</v>
      </c>
      <c r="H17" s="560">
        <v>14</v>
      </c>
      <c r="L17"/>
      <c r="M17"/>
      <c r="N17"/>
      <c r="O17"/>
    </row>
    <row r="18" spans="1:15" ht="18.95" customHeight="1">
      <c r="A18" s="1188" t="s">
        <v>430</v>
      </c>
      <c r="B18" s="1200"/>
      <c r="C18" s="183">
        <v>41</v>
      </c>
      <c r="D18" s="224">
        <v>24</v>
      </c>
      <c r="E18" s="224">
        <v>109</v>
      </c>
      <c r="F18" s="224">
        <v>70</v>
      </c>
      <c r="G18" s="560">
        <v>57.4</v>
      </c>
      <c r="H18" s="560">
        <v>3</v>
      </c>
      <c r="L18"/>
      <c r="M18"/>
      <c r="N18"/>
      <c r="O18"/>
    </row>
    <row r="19" spans="1:15" ht="18.95" customHeight="1">
      <c r="A19" s="1188" t="s">
        <v>431</v>
      </c>
      <c r="B19" s="1200"/>
      <c r="C19" s="183">
        <v>90</v>
      </c>
      <c r="D19" s="224">
        <v>129</v>
      </c>
      <c r="E19" s="224">
        <v>123</v>
      </c>
      <c r="F19" s="224">
        <v>63</v>
      </c>
      <c r="G19" s="560">
        <v>233</v>
      </c>
      <c r="H19" s="560">
        <v>73</v>
      </c>
      <c r="L19"/>
      <c r="M19"/>
      <c r="N19"/>
      <c r="O19"/>
    </row>
    <row r="20" spans="1:15" ht="18.95" customHeight="1">
      <c r="A20" s="1188" t="s">
        <v>432</v>
      </c>
      <c r="B20" s="1200"/>
      <c r="C20" s="183">
        <v>241</v>
      </c>
      <c r="D20" s="224">
        <v>204</v>
      </c>
      <c r="E20" s="224">
        <v>493</v>
      </c>
      <c r="F20" s="224">
        <v>175</v>
      </c>
      <c r="G20" s="560">
        <v>280.2</v>
      </c>
      <c r="H20" s="560">
        <v>158</v>
      </c>
      <c r="L20"/>
      <c r="M20"/>
      <c r="N20"/>
      <c r="O20"/>
    </row>
    <row r="21" spans="1:15" ht="18.95" customHeight="1">
      <c r="A21" s="1188" t="s">
        <v>433</v>
      </c>
      <c r="B21" s="1200"/>
      <c r="C21" s="183">
        <v>300</v>
      </c>
      <c r="D21" s="224">
        <v>163</v>
      </c>
      <c r="E21" s="224">
        <v>212</v>
      </c>
      <c r="F21" s="224">
        <v>326</v>
      </c>
      <c r="G21" s="560">
        <v>224.1</v>
      </c>
      <c r="H21" s="560">
        <v>263</v>
      </c>
      <c r="L21"/>
      <c r="M21"/>
      <c r="N21"/>
      <c r="O21"/>
    </row>
    <row r="22" spans="1:15" ht="18.95" customHeight="1">
      <c r="A22" s="1188" t="s">
        <v>434</v>
      </c>
      <c r="B22" s="1200"/>
      <c r="C22" s="183">
        <v>296</v>
      </c>
      <c r="D22" s="224">
        <v>144</v>
      </c>
      <c r="E22" s="224">
        <v>392</v>
      </c>
      <c r="F22" s="224">
        <v>296</v>
      </c>
      <c r="G22" s="560">
        <v>352.4</v>
      </c>
      <c r="H22" s="560">
        <v>246</v>
      </c>
      <c r="L22"/>
      <c r="M22"/>
      <c r="N22"/>
      <c r="O22"/>
    </row>
    <row r="23" spans="1:15" ht="18.95" customHeight="1">
      <c r="A23" s="1188" t="s">
        <v>435</v>
      </c>
      <c r="B23" s="1200"/>
      <c r="C23" s="183">
        <v>235</v>
      </c>
      <c r="D23" s="224">
        <v>141</v>
      </c>
      <c r="E23" s="224">
        <v>324</v>
      </c>
      <c r="F23" s="224">
        <v>181</v>
      </c>
      <c r="G23" s="560">
        <v>258.60000000000002</v>
      </c>
      <c r="H23" s="560">
        <v>185</v>
      </c>
      <c r="L23"/>
      <c r="M23"/>
      <c r="N23"/>
      <c r="O23"/>
    </row>
    <row r="24" spans="1:15" ht="18.95" customHeight="1">
      <c r="A24" s="1188" t="s">
        <v>436</v>
      </c>
      <c r="B24" s="1200"/>
      <c r="C24" s="183">
        <v>82</v>
      </c>
      <c r="D24" s="224">
        <v>58</v>
      </c>
      <c r="E24" s="224">
        <v>33</v>
      </c>
      <c r="F24" s="224">
        <v>33</v>
      </c>
      <c r="G24" s="560">
        <v>376.5</v>
      </c>
      <c r="H24" s="560">
        <v>49</v>
      </c>
      <c r="L24"/>
      <c r="M24"/>
      <c r="N24"/>
      <c r="O24"/>
    </row>
    <row r="25" spans="1:15" ht="18.95" customHeight="1">
      <c r="A25" s="1188" t="s">
        <v>437</v>
      </c>
      <c r="B25" s="1200"/>
      <c r="C25" s="183">
        <v>19</v>
      </c>
      <c r="D25" s="224">
        <v>6</v>
      </c>
      <c r="E25" s="224">
        <v>3</v>
      </c>
      <c r="F25" s="224">
        <v>53</v>
      </c>
      <c r="G25" s="224" t="s">
        <v>1127</v>
      </c>
      <c r="H25" s="1071" t="s">
        <v>1127</v>
      </c>
      <c r="L25"/>
      <c r="M25"/>
      <c r="N25"/>
      <c r="O25"/>
    </row>
    <row r="26" spans="1:15" ht="18.95" customHeight="1">
      <c r="A26" s="1188" t="s">
        <v>438</v>
      </c>
      <c r="B26" s="1183"/>
      <c r="C26" s="183">
        <v>15</v>
      </c>
      <c r="D26" s="224">
        <v>36</v>
      </c>
      <c r="E26" s="228" t="s">
        <v>1127</v>
      </c>
      <c r="F26" s="228">
        <v>17</v>
      </c>
      <c r="G26" s="228" t="s">
        <v>1127</v>
      </c>
      <c r="H26" s="960" t="s">
        <v>1127</v>
      </c>
      <c r="L26"/>
      <c r="M26"/>
      <c r="N26"/>
      <c r="O26"/>
    </row>
    <row r="27" spans="1:15" ht="20.25" customHeight="1">
      <c r="A27" s="1198" t="s">
        <v>439</v>
      </c>
      <c r="B27" s="1199"/>
      <c r="C27" s="179">
        <f t="shared" ref="C27:G27" si="0">SUM(C15:C26)</f>
        <v>1385</v>
      </c>
      <c r="D27" s="179">
        <f t="shared" si="0"/>
        <v>917</v>
      </c>
      <c r="E27" s="209">
        <f t="shared" si="0"/>
        <v>1740</v>
      </c>
      <c r="F27" s="179">
        <f t="shared" si="0"/>
        <v>1269</v>
      </c>
      <c r="G27" s="588">
        <f t="shared" si="0"/>
        <v>1809.1</v>
      </c>
      <c r="H27" s="588">
        <f>SUM(H15:H24)</f>
        <v>1030</v>
      </c>
    </row>
    <row r="28" spans="1:15" ht="12.75" customHeight="1">
      <c r="D28" s="24"/>
      <c r="F28" s="716" t="s">
        <v>526</v>
      </c>
      <c r="G28" s="717" t="s">
        <v>696</v>
      </c>
      <c r="H28"/>
      <c r="I28" s="24"/>
      <c r="J28" s="24"/>
    </row>
    <row r="29" spans="1:15">
      <c r="F29" s="717"/>
      <c r="G29" s="717" t="s">
        <v>1440</v>
      </c>
      <c r="H29"/>
    </row>
    <row r="30" spans="1:15">
      <c r="E30" s="716"/>
      <c r="F30" s="717"/>
      <c r="G30"/>
      <c r="H30"/>
    </row>
    <row r="31" spans="1:15" ht="9.75" customHeight="1"/>
  </sheetData>
  <mergeCells count="27">
    <mergeCell ref="A26:B26"/>
    <mergeCell ref="A27:B27"/>
    <mergeCell ref="D12:H12"/>
    <mergeCell ref="A22:B22"/>
    <mergeCell ref="A23:B23"/>
    <mergeCell ref="A24:B24"/>
    <mergeCell ref="A25:B25"/>
    <mergeCell ref="A18:B18"/>
    <mergeCell ref="A19:B19"/>
    <mergeCell ref="A21:B21"/>
    <mergeCell ref="A14:B14"/>
    <mergeCell ref="A15:B15"/>
    <mergeCell ref="A16:B16"/>
    <mergeCell ref="A17:B17"/>
    <mergeCell ref="A20:B20"/>
    <mergeCell ref="H3:H4"/>
    <mergeCell ref="A1:H1"/>
    <mergeCell ref="A12:B13"/>
    <mergeCell ref="A10:H10"/>
    <mergeCell ref="A9:H9"/>
    <mergeCell ref="E7:H7"/>
    <mergeCell ref="B3:C3"/>
    <mergeCell ref="D3:E3"/>
    <mergeCell ref="A2:H2"/>
    <mergeCell ref="A3:A4"/>
    <mergeCell ref="G3:G4"/>
    <mergeCell ref="F3:F4"/>
  </mergeCells>
  <phoneticPr fontId="0" type="noConversion"/>
  <conditionalFormatting sqref="G15:H24">
    <cfRule type="cellIs" dxfId="17" priority="1" stopIfTrue="1" operator="equal">
      <formula>".."</formula>
    </cfRule>
  </conditionalFormatting>
  <printOptions horizontalCentered="1" verticalCentered="1"/>
  <pageMargins left="0.1" right="0.1" top="0.36" bottom="0.1" header="0.33" footer="0.2"/>
  <pageSetup paperSize="9" orientation="landscape" r:id="rId1"/>
  <headerFooter alignWithMargins="0"/>
</worksheet>
</file>

<file path=xl/worksheets/sheet60.xml><?xml version="1.0" encoding="utf-8"?>
<worksheet xmlns="http://schemas.openxmlformats.org/spreadsheetml/2006/main" xmlns:r="http://schemas.openxmlformats.org/officeDocument/2006/relationships">
  <sheetPr codeName="Sheet72"/>
  <dimension ref="A1:J24"/>
  <sheetViews>
    <sheetView workbookViewId="0">
      <selection activeCell="M16" sqref="M16"/>
    </sheetView>
  </sheetViews>
  <sheetFormatPr defaultRowHeight="12.75"/>
  <cols>
    <col min="1" max="1" width="14.42578125" style="172" customWidth="1"/>
    <col min="2" max="2" width="10.42578125" style="172" customWidth="1"/>
    <col min="3" max="3" width="28.28515625" style="172" customWidth="1"/>
    <col min="4" max="4" width="13.140625" style="172" customWidth="1"/>
    <col min="5" max="5" width="15.7109375" style="172" customWidth="1"/>
    <col min="6" max="6" width="10.140625" style="172" customWidth="1"/>
    <col min="7" max="7" width="12.85546875" style="172" customWidth="1"/>
    <col min="8" max="8" width="13.85546875" style="172" customWidth="1"/>
    <col min="9" max="9" width="14.7109375" style="172" customWidth="1"/>
    <col min="10" max="16384" width="9.140625" style="172"/>
  </cols>
  <sheetData>
    <row r="1" spans="1:10" ht="13.5" customHeight="1">
      <c r="A1" s="1181" t="s">
        <v>1571</v>
      </c>
      <c r="B1" s="1181"/>
      <c r="C1" s="1181"/>
      <c r="D1" s="1181"/>
      <c r="E1" s="1181"/>
      <c r="F1" s="1181"/>
      <c r="G1" s="1181"/>
      <c r="H1" s="1181"/>
      <c r="I1" s="11"/>
    </row>
    <row r="2" spans="1:10" s="206" customFormat="1" ht="18" customHeight="1">
      <c r="A2" s="1381" t="str">
        <f>CONCATENATE("Employment in Registered Factories and State Government Offices in the district of ",District!A1)</f>
        <v>Employment in Registered Factories and State Government Offices in the district of Bankura</v>
      </c>
      <c r="B2" s="1381"/>
      <c r="C2" s="1381"/>
      <c r="D2" s="1381"/>
      <c r="E2" s="1381"/>
      <c r="F2" s="1381"/>
      <c r="G2" s="1381"/>
      <c r="H2" s="1381"/>
      <c r="I2" s="160"/>
    </row>
    <row r="3" spans="1:10" s="206" customFormat="1" ht="12.75" customHeight="1">
      <c r="A3" s="160"/>
      <c r="B3" s="160"/>
      <c r="C3" s="160"/>
      <c r="D3" s="541"/>
      <c r="E3" s="541"/>
      <c r="F3" s="160"/>
      <c r="G3" s="160"/>
      <c r="H3" s="160"/>
      <c r="I3" s="160"/>
    </row>
    <row r="4" spans="1:10" ht="17.25" customHeight="1">
      <c r="A4" s="1186" t="s">
        <v>1185</v>
      </c>
      <c r="B4" s="1187"/>
      <c r="C4" s="1184"/>
      <c r="D4" s="221">
        <v>2005</v>
      </c>
      <c r="E4" s="221">
        <v>2006</v>
      </c>
      <c r="F4" s="1209">
        <v>2007</v>
      </c>
      <c r="G4" s="1210"/>
      <c r="H4" s="233">
        <v>2008</v>
      </c>
      <c r="I4" s="178">
        <v>2009</v>
      </c>
    </row>
    <row r="5" spans="1:10" ht="17.25" customHeight="1">
      <c r="A5" s="1201" t="s">
        <v>418</v>
      </c>
      <c r="B5" s="1202"/>
      <c r="C5" s="1257"/>
      <c r="D5" s="221" t="s">
        <v>419</v>
      </c>
      <c r="E5" s="215" t="s">
        <v>420</v>
      </c>
      <c r="F5" s="1201" t="s">
        <v>421</v>
      </c>
      <c r="G5" s="1257"/>
      <c r="H5" s="221" t="s">
        <v>422</v>
      </c>
      <c r="I5" s="213" t="s">
        <v>423</v>
      </c>
    </row>
    <row r="6" spans="1:10" s="466" customFormat="1" ht="28.5" customHeight="1">
      <c r="A6" s="205" t="s">
        <v>1412</v>
      </c>
      <c r="B6" s="542"/>
      <c r="C6" s="542"/>
      <c r="D6" s="543"/>
      <c r="E6" s="543"/>
      <c r="F6" s="1477"/>
      <c r="G6" s="1478"/>
      <c r="H6" s="544"/>
      <c r="I6" s="547"/>
    </row>
    <row r="7" spans="1:10" ht="34.5" customHeight="1">
      <c r="A7" s="1188" t="s">
        <v>879</v>
      </c>
      <c r="B7" s="1249"/>
      <c r="C7" s="1409"/>
      <c r="D7" s="29">
        <v>184</v>
      </c>
      <c r="E7" s="29">
        <v>190</v>
      </c>
      <c r="F7" s="1248">
        <v>199</v>
      </c>
      <c r="G7" s="1409"/>
      <c r="H7" s="183">
        <v>207</v>
      </c>
      <c r="I7" s="183" t="s">
        <v>277</v>
      </c>
    </row>
    <row r="8" spans="1:10" ht="29.25" customHeight="1">
      <c r="A8" s="1188" t="s">
        <v>660</v>
      </c>
      <c r="B8" s="1249"/>
      <c r="C8" s="1409"/>
      <c r="D8" s="29">
        <v>7003</v>
      </c>
      <c r="E8" s="29">
        <v>7758</v>
      </c>
      <c r="F8" s="1248">
        <v>8210</v>
      </c>
      <c r="G8" s="1409"/>
      <c r="H8" s="183">
        <v>8910</v>
      </c>
      <c r="I8" s="183" t="s">
        <v>278</v>
      </c>
    </row>
    <row r="9" spans="1:10" s="466" customFormat="1" ht="44.25" customHeight="1">
      <c r="A9" s="1481" t="s">
        <v>658</v>
      </c>
      <c r="B9" s="1482"/>
      <c r="C9" s="1482"/>
      <c r="D9" s="545"/>
      <c r="E9" s="546"/>
      <c r="F9" s="1486"/>
      <c r="G9" s="1487"/>
      <c r="H9" s="547"/>
      <c r="I9" s="547"/>
    </row>
    <row r="10" spans="1:10" ht="21.95" customHeight="1">
      <c r="A10" s="1188" t="s">
        <v>879</v>
      </c>
      <c r="B10" s="1249"/>
      <c r="C10" s="1409"/>
      <c r="D10" s="246">
        <v>322</v>
      </c>
      <c r="E10" s="246">
        <v>400</v>
      </c>
      <c r="F10" s="246" t="s">
        <v>730</v>
      </c>
      <c r="G10" s="184" t="s">
        <v>731</v>
      </c>
      <c r="H10" s="183">
        <v>540</v>
      </c>
      <c r="I10" s="183">
        <v>377</v>
      </c>
    </row>
    <row r="11" spans="1:10" ht="26.25" customHeight="1">
      <c r="A11" s="1188" t="s">
        <v>659</v>
      </c>
      <c r="B11" s="1249"/>
      <c r="C11" s="1409"/>
      <c r="D11" s="246">
        <v>2162</v>
      </c>
      <c r="E11" s="246">
        <v>2327</v>
      </c>
      <c r="F11" s="246" t="s">
        <v>732</v>
      </c>
      <c r="G11" s="184" t="s">
        <v>733</v>
      </c>
      <c r="H11" s="183">
        <v>4441</v>
      </c>
      <c r="I11" s="183">
        <v>2811</v>
      </c>
    </row>
    <row r="12" spans="1:10" ht="39.75" customHeight="1">
      <c r="A12" s="1483" t="s">
        <v>631</v>
      </c>
      <c r="B12" s="1484"/>
      <c r="C12" s="1485"/>
      <c r="D12" s="56">
        <v>16807</v>
      </c>
      <c r="E12" s="56">
        <v>16004</v>
      </c>
      <c r="F12" s="1242">
        <v>15803</v>
      </c>
      <c r="G12" s="1185"/>
      <c r="H12" s="41" t="s">
        <v>120</v>
      </c>
      <c r="I12" s="41" t="s">
        <v>906</v>
      </c>
    </row>
    <row r="13" spans="1:10" s="549" customFormat="1" ht="14.1" customHeight="1">
      <c r="A13" s="537" t="s">
        <v>889</v>
      </c>
      <c r="B13" s="477"/>
      <c r="C13" s="172"/>
      <c r="E13" s="113" t="s">
        <v>487</v>
      </c>
      <c r="F13" s="16" t="s">
        <v>511</v>
      </c>
      <c r="G13" s="172"/>
      <c r="H13" s="172"/>
      <c r="I13" s="548"/>
      <c r="J13" s="548"/>
    </row>
    <row r="14" spans="1:10" ht="14.1" customHeight="1">
      <c r="A14" s="2" t="s">
        <v>517</v>
      </c>
      <c r="B14" s="550"/>
      <c r="C14" s="550"/>
      <c r="E14" s="619" t="s">
        <v>488</v>
      </c>
      <c r="F14" s="16" t="s">
        <v>512</v>
      </c>
      <c r="G14" s="16"/>
      <c r="H14" s="16"/>
      <c r="I14" s="16"/>
    </row>
    <row r="15" spans="1:10" ht="14.1" customHeight="1">
      <c r="A15" s="1479" t="s">
        <v>854</v>
      </c>
      <c r="B15" s="1480"/>
      <c r="C15" s="1480"/>
      <c r="E15" s="620" t="s">
        <v>497</v>
      </c>
      <c r="F15" s="16" t="s">
        <v>839</v>
      </c>
      <c r="G15" s="16"/>
      <c r="H15" s="16"/>
      <c r="I15" s="16"/>
      <c r="J15" s="16"/>
    </row>
    <row r="16" spans="1:10" ht="12" customHeight="1">
      <c r="A16" s="1480"/>
      <c r="B16" s="1480"/>
      <c r="C16" s="1480"/>
      <c r="E16" s="620" t="s">
        <v>498</v>
      </c>
      <c r="F16" s="537" t="s">
        <v>513</v>
      </c>
      <c r="G16" s="537"/>
      <c r="H16" s="537"/>
      <c r="I16" s="537"/>
      <c r="J16" s="537"/>
    </row>
    <row r="17" spans="1:6" ht="12" customHeight="1">
      <c r="A17" s="1480"/>
      <c r="B17" s="1480"/>
      <c r="C17" s="1480"/>
      <c r="D17" s="615"/>
      <c r="F17" s="172" t="s">
        <v>709</v>
      </c>
    </row>
    <row r="18" spans="1:6" ht="15" customHeight="1">
      <c r="A18" s="1480"/>
      <c r="B18" s="1480"/>
      <c r="C18" s="1480"/>
    </row>
    <row r="20" spans="1:6" ht="15" customHeight="1"/>
    <row r="21" spans="1:6" ht="15" customHeight="1"/>
    <row r="22" spans="1:6" ht="18" customHeight="1"/>
    <row r="23" spans="1:6" ht="18" customHeight="1"/>
    <row r="24" spans="1:6" ht="18" customHeight="1"/>
  </sheetData>
  <mergeCells count="18">
    <mergeCell ref="F12:G12"/>
    <mergeCell ref="A15:C18"/>
    <mergeCell ref="A11:C11"/>
    <mergeCell ref="A10:C10"/>
    <mergeCell ref="A9:C9"/>
    <mergeCell ref="A12:C12"/>
    <mergeCell ref="F9:G9"/>
    <mergeCell ref="A1:H1"/>
    <mergeCell ref="A2:H2"/>
    <mergeCell ref="F7:G7"/>
    <mergeCell ref="F8:G8"/>
    <mergeCell ref="F4:G4"/>
    <mergeCell ref="A4:C4"/>
    <mergeCell ref="A8:C8"/>
    <mergeCell ref="F5:G5"/>
    <mergeCell ref="F6:G6"/>
    <mergeCell ref="A5:C5"/>
    <mergeCell ref="A7:C7"/>
  </mergeCells>
  <phoneticPr fontId="0" type="noConversion"/>
  <printOptions horizontalCentered="1" verticalCentered="1"/>
  <pageMargins left="0.1" right="0.1" top="0.1" bottom="0.1" header="0.7" footer="0.1"/>
  <pageSetup paperSize="9" orientation="landscape" horizontalDpi="4294967295" verticalDpi="300" r:id="rId1"/>
  <headerFooter alignWithMargins="0"/>
</worksheet>
</file>

<file path=xl/worksheets/sheet61.xml><?xml version="1.0" encoding="utf-8"?>
<worksheet xmlns="http://schemas.openxmlformats.org/spreadsheetml/2006/main" xmlns:r="http://schemas.openxmlformats.org/officeDocument/2006/relationships">
  <sheetPr codeName="Sheet53"/>
  <dimension ref="A3:K21"/>
  <sheetViews>
    <sheetView workbookViewId="0">
      <selection activeCell="M30" sqref="M30"/>
    </sheetView>
  </sheetViews>
  <sheetFormatPr defaultRowHeight="12.75"/>
  <cols>
    <col min="1" max="1" width="4" customWidth="1"/>
    <col min="2" max="2" width="35.7109375" customWidth="1"/>
    <col min="3" max="3" width="17.140625" customWidth="1"/>
    <col min="4" max="4" width="17.7109375" customWidth="1"/>
    <col min="5" max="6" width="17.28515625" customWidth="1"/>
    <col min="7" max="7" width="18.140625" customWidth="1"/>
    <col min="8" max="8" width="14.85546875" customWidth="1"/>
  </cols>
  <sheetData>
    <row r="3" spans="1:11" ht="15.75" customHeight="1">
      <c r="A3" s="1488" t="s">
        <v>1571</v>
      </c>
      <c r="B3" s="1488"/>
      <c r="C3" s="1488"/>
      <c r="D3" s="1488"/>
      <c r="E3" s="1488"/>
      <c r="F3" s="1488"/>
      <c r="G3" s="1488"/>
    </row>
    <row r="4" spans="1:11" ht="20.25" customHeight="1">
      <c r="A4" s="1489" t="str">
        <f>CONCATENATE("Employment in Registered Factories and State Government Offices in the district of ",District!$A$1)</f>
        <v>Employment in Registered Factories and State Government Offices in the district of Bankura</v>
      </c>
      <c r="B4" s="1489"/>
      <c r="C4" s="1489"/>
      <c r="D4" s="1489"/>
      <c r="E4" s="1489"/>
      <c r="F4" s="1489"/>
      <c r="G4" s="1489"/>
      <c r="H4" s="19"/>
      <c r="I4" s="19"/>
      <c r="J4" s="19"/>
      <c r="K4" s="12"/>
    </row>
    <row r="5" spans="1:11" s="674" customFormat="1" ht="15.75" customHeight="1">
      <c r="D5" s="675"/>
      <c r="E5" s="675"/>
      <c r="F5" s="675"/>
      <c r="G5" s="676" t="s">
        <v>452</v>
      </c>
      <c r="H5" s="677"/>
      <c r="I5" s="678"/>
      <c r="J5" s="678"/>
      <c r="K5" s="678"/>
    </row>
    <row r="6" spans="1:11" s="685" customFormat="1" ht="27" customHeight="1">
      <c r="A6" s="1492" t="s">
        <v>1185</v>
      </c>
      <c r="B6" s="1493"/>
      <c r="C6" s="679">
        <f>District!B10</f>
        <v>2010</v>
      </c>
      <c r="D6" s="680">
        <f>District!C10</f>
        <v>2011</v>
      </c>
      <c r="E6" s="681">
        <f>District!D10</f>
        <v>2012</v>
      </c>
      <c r="F6" s="681">
        <f>District!E10</f>
        <v>2013</v>
      </c>
      <c r="G6" s="681">
        <f>District!F10</f>
        <v>2014</v>
      </c>
      <c r="H6" s="682"/>
      <c r="I6" s="682"/>
      <c r="J6" s="682"/>
      <c r="K6" s="684"/>
    </row>
    <row r="7" spans="1:11" s="691" customFormat="1" ht="25.5" customHeight="1">
      <c r="A7" s="1490" t="s">
        <v>418</v>
      </c>
      <c r="B7" s="1491"/>
      <c r="C7" s="687" t="s">
        <v>419</v>
      </c>
      <c r="D7" s="688" t="s">
        <v>420</v>
      </c>
      <c r="E7" s="687" t="s">
        <v>421</v>
      </c>
      <c r="F7" s="686" t="s">
        <v>422</v>
      </c>
      <c r="G7" s="687" t="s">
        <v>423</v>
      </c>
      <c r="H7" s="689"/>
      <c r="I7" s="690"/>
      <c r="J7" s="690"/>
      <c r="K7" s="690"/>
    </row>
    <row r="8" spans="1:11" ht="42.75" customHeight="1">
      <c r="A8" s="692" t="s">
        <v>942</v>
      </c>
      <c r="B8" s="937" t="s">
        <v>1476</v>
      </c>
      <c r="C8" s="693"/>
      <c r="D8" s="4"/>
      <c r="E8" s="693"/>
      <c r="F8" s="694"/>
      <c r="G8" s="693"/>
      <c r="H8" s="4"/>
      <c r="I8" s="4"/>
      <c r="J8" s="4"/>
    </row>
    <row r="9" spans="1:11" ht="35.25" customHeight="1">
      <c r="A9" s="695"/>
      <c r="B9" s="696" t="s">
        <v>1429</v>
      </c>
      <c r="C9" s="246">
        <v>235</v>
      </c>
      <c r="D9" s="246">
        <v>243</v>
      </c>
      <c r="E9" s="183">
        <v>255</v>
      </c>
      <c r="F9" s="183" t="s">
        <v>1055</v>
      </c>
      <c r="G9" s="831" t="s">
        <v>1704</v>
      </c>
      <c r="I9" s="4"/>
      <c r="J9" s="4"/>
    </row>
    <row r="10" spans="1:11" ht="47.25" customHeight="1">
      <c r="A10" s="695"/>
      <c r="B10" s="696" t="s">
        <v>1430</v>
      </c>
      <c r="C10" s="246">
        <v>11846</v>
      </c>
      <c r="D10" s="246">
        <v>12356</v>
      </c>
      <c r="E10" s="183">
        <v>12905</v>
      </c>
      <c r="F10" s="183" t="s">
        <v>1056</v>
      </c>
      <c r="G10" s="831" t="s">
        <v>1705</v>
      </c>
      <c r="I10" s="4"/>
      <c r="J10" s="4"/>
    </row>
    <row r="11" spans="1:11" ht="58.5" customHeight="1">
      <c r="A11" s="697" t="s">
        <v>1431</v>
      </c>
      <c r="B11" s="939" t="s">
        <v>1706</v>
      </c>
      <c r="C11" s="56" t="s">
        <v>906</v>
      </c>
      <c r="D11" s="56">
        <v>14574</v>
      </c>
      <c r="E11" s="41" t="s">
        <v>906</v>
      </c>
      <c r="F11" s="41">
        <v>15191</v>
      </c>
      <c r="G11" s="41">
        <v>14686</v>
      </c>
      <c r="I11" s="4"/>
      <c r="J11" s="4"/>
    </row>
    <row r="12" spans="1:11" ht="12" customHeight="1">
      <c r="A12" s="888"/>
      <c r="B12" s="699"/>
      <c r="C12" s="20"/>
      <c r="E12" s="700" t="s">
        <v>487</v>
      </c>
      <c r="F12" s="701" t="s">
        <v>1432</v>
      </c>
      <c r="G12" s="701"/>
      <c r="H12" s="4"/>
      <c r="I12" s="4"/>
      <c r="J12" s="4"/>
    </row>
    <row r="13" spans="1:11" ht="12" customHeight="1">
      <c r="A13" s="698"/>
      <c r="B13" s="699"/>
      <c r="C13" s="702"/>
      <c r="D13" s="701"/>
      <c r="E13" s="703" t="s">
        <v>488</v>
      </c>
      <c r="F13" s="701" t="s">
        <v>1433</v>
      </c>
      <c r="G13" s="701"/>
      <c r="H13" s="4"/>
      <c r="I13" s="4"/>
      <c r="J13" s="4"/>
    </row>
    <row r="14" spans="1:11" ht="12.75" customHeight="1">
      <c r="A14" s="704"/>
      <c r="B14" s="704"/>
      <c r="C14" s="704"/>
      <c r="D14" s="701"/>
      <c r="E14" s="701"/>
      <c r="F14" s="705"/>
      <c r="G14" s="701"/>
      <c r="H14" s="4"/>
      <c r="I14" s="4"/>
      <c r="J14" s="4"/>
    </row>
    <row r="15" spans="1:11" ht="12.75" customHeight="1">
      <c r="A15" s="704"/>
      <c r="B15" s="704"/>
      <c r="C15" s="704"/>
      <c r="D15" s="701"/>
      <c r="E15" s="706"/>
      <c r="F15" s="707"/>
      <c r="G15" s="707"/>
      <c r="H15" s="4"/>
      <c r="I15" s="4"/>
      <c r="J15" s="4"/>
    </row>
    <row r="16" spans="1:11" ht="12" customHeight="1">
      <c r="A16" s="704"/>
      <c r="B16" s="704"/>
      <c r="C16" s="704"/>
      <c r="D16" s="20"/>
      <c r="E16" s="707"/>
      <c r="F16" s="707"/>
      <c r="G16" s="707"/>
      <c r="H16" s="4"/>
      <c r="I16" s="4"/>
      <c r="J16" s="4"/>
    </row>
    <row r="17" spans="2:11" ht="18" customHeight="1">
      <c r="B17" s="708"/>
      <c r="C17" s="4"/>
      <c r="D17" s="4"/>
      <c r="E17" s="4"/>
      <c r="F17" s="4"/>
      <c r="G17" s="4"/>
      <c r="H17" s="4"/>
      <c r="I17" s="4"/>
      <c r="J17" s="4"/>
    </row>
    <row r="18" spans="2:11" ht="18" customHeight="1">
      <c r="B18" s="708"/>
      <c r="C18" s="4"/>
      <c r="D18" s="4"/>
      <c r="E18" s="4"/>
      <c r="F18" s="4"/>
      <c r="G18" s="4"/>
      <c r="H18" s="4"/>
      <c r="I18" s="4"/>
      <c r="J18" s="4"/>
    </row>
    <row r="19" spans="2:11" ht="18" customHeight="1">
      <c r="B19" s="709"/>
      <c r="C19" s="4"/>
      <c r="D19" s="4"/>
      <c r="E19" s="4"/>
      <c r="F19" s="4"/>
      <c r="G19" s="4"/>
      <c r="H19" s="4"/>
      <c r="I19" s="4"/>
      <c r="J19" s="4"/>
      <c r="K19" s="4"/>
    </row>
    <row r="20" spans="2:11">
      <c r="B20" s="5"/>
      <c r="C20" s="18"/>
      <c r="D20" s="710"/>
      <c r="E20" s="710"/>
      <c r="F20" s="710"/>
      <c r="H20" s="710"/>
    </row>
    <row r="21" spans="2:11">
      <c r="C21" s="18"/>
      <c r="D21" s="18"/>
      <c r="E21" s="18"/>
      <c r="F21" s="18"/>
      <c r="G21" s="18"/>
      <c r="H21" s="18"/>
    </row>
  </sheetData>
  <mergeCells count="4">
    <mergeCell ref="A3:G3"/>
    <mergeCell ref="A4:G4"/>
    <mergeCell ref="A7:B7"/>
    <mergeCell ref="A6:B6"/>
  </mergeCells>
  <phoneticPr fontId="0" type="noConversion"/>
  <conditionalFormatting sqref="A7:B65536 A1:B5 C1:IV1048576">
    <cfRule type="cellIs" dxfId="7" priority="1" stopIfTrue="1" operator="equal">
      <formula>".."</formula>
    </cfRule>
  </conditionalFormatting>
  <printOptions horizontalCentered="1"/>
  <pageMargins left="0.1" right="0.1" top="0.95" bottom="0.1" header="0.5" footer="0.1"/>
  <pageSetup paperSize="9" orientation="landscape" blackAndWhite="1" r:id="rId1"/>
  <headerFooter alignWithMargins="0"/>
</worksheet>
</file>

<file path=xl/worksheets/sheet62.xml><?xml version="1.0" encoding="utf-8"?>
<worksheet xmlns="http://schemas.openxmlformats.org/spreadsheetml/2006/main" xmlns:r="http://schemas.openxmlformats.org/officeDocument/2006/relationships">
  <sheetPr codeName="Sheet59"/>
  <dimension ref="B1:N32"/>
  <sheetViews>
    <sheetView topLeftCell="A4" workbookViewId="0">
      <selection activeCell="L19" sqref="L19"/>
    </sheetView>
  </sheetViews>
  <sheetFormatPr defaultRowHeight="12.75"/>
  <cols>
    <col min="1" max="1" width="5.28515625" style="596" customWidth="1"/>
    <col min="2" max="2" width="10.85546875" style="596" customWidth="1"/>
    <col min="3" max="3" width="7.7109375" style="596" customWidth="1"/>
    <col min="4" max="4" width="10.140625" style="596" customWidth="1"/>
    <col min="5" max="5" width="7.7109375" style="596" customWidth="1"/>
    <col min="6" max="6" width="10.28515625" style="596" customWidth="1"/>
    <col min="7" max="7" width="7.7109375" style="596" customWidth="1"/>
    <col min="8" max="8" width="10.28515625" style="596" customWidth="1"/>
    <col min="9" max="9" width="7.7109375" style="596" customWidth="1"/>
    <col min="10" max="10" width="10.28515625" style="596" customWidth="1"/>
    <col min="11" max="11" width="7.7109375" style="596" customWidth="1"/>
    <col min="12" max="12" width="10.28515625" style="596" customWidth="1"/>
    <col min="13" max="13" width="7.7109375" style="596" customWidth="1"/>
    <col min="14" max="14" width="10.28515625" style="596" customWidth="1"/>
    <col min="15" max="16384" width="9.140625" style="596"/>
  </cols>
  <sheetData>
    <row r="1" spans="2:14" ht="13.5" customHeight="1">
      <c r="B1" s="1500" t="s">
        <v>1572</v>
      </c>
      <c r="C1" s="1500"/>
      <c r="D1" s="1500"/>
      <c r="E1" s="1500"/>
      <c r="F1" s="1500"/>
      <c r="G1" s="1500"/>
      <c r="H1" s="1500"/>
      <c r="I1" s="1500"/>
      <c r="J1" s="1500"/>
      <c r="K1" s="1500"/>
      <c r="L1" s="1500"/>
      <c r="M1" s="1500"/>
      <c r="N1" s="1500"/>
    </row>
    <row r="2" spans="2:14" s="597" customFormat="1" ht="19.5" customHeight="1">
      <c r="B2" s="1494" t="str">
        <f>CONCATENATE("Number of Establishments in rural and urban areas in the district of ",District!A1)</f>
        <v>Number of Establishments in rural and urban areas in the district of Bankura</v>
      </c>
      <c r="C2" s="1494"/>
      <c r="D2" s="1494"/>
      <c r="E2" s="1494"/>
      <c r="F2" s="1494"/>
      <c r="G2" s="1494"/>
      <c r="H2" s="1494"/>
      <c r="I2" s="1494"/>
      <c r="J2" s="1494"/>
      <c r="K2" s="1494"/>
      <c r="L2" s="1494"/>
      <c r="M2" s="1494"/>
      <c r="N2" s="1494"/>
    </row>
    <row r="3" spans="2:14" ht="15" customHeight="1">
      <c r="B3" s="1498" t="s">
        <v>1184</v>
      </c>
      <c r="C3" s="1495" t="s">
        <v>1245</v>
      </c>
      <c r="D3" s="1495"/>
      <c r="E3" s="1495"/>
      <c r="F3" s="1496"/>
      <c r="G3" s="1497" t="s">
        <v>1246</v>
      </c>
      <c r="H3" s="1495"/>
      <c r="I3" s="1495"/>
      <c r="J3" s="1496"/>
      <c r="K3" s="1495" t="s">
        <v>646</v>
      </c>
      <c r="L3" s="1495"/>
      <c r="M3" s="1495"/>
      <c r="N3" s="1496"/>
    </row>
    <row r="4" spans="2:14" ht="15" customHeight="1">
      <c r="B4" s="1499"/>
      <c r="C4" s="1495">
        <v>2005</v>
      </c>
      <c r="D4" s="1496"/>
      <c r="E4" s="1495">
        <v>2013</v>
      </c>
      <c r="F4" s="1496"/>
      <c r="G4" s="1495">
        <v>2005</v>
      </c>
      <c r="H4" s="1496"/>
      <c r="I4" s="1495">
        <v>2013</v>
      </c>
      <c r="J4" s="1496"/>
      <c r="K4" s="1495">
        <v>2005</v>
      </c>
      <c r="L4" s="1496"/>
      <c r="M4" s="1495">
        <v>2013</v>
      </c>
      <c r="N4" s="1496"/>
    </row>
    <row r="5" spans="2:14" ht="29.25" customHeight="1">
      <c r="B5" s="1499"/>
      <c r="C5" s="599" t="s">
        <v>78</v>
      </c>
      <c r="D5" s="600" t="s">
        <v>1186</v>
      </c>
      <c r="E5" s="650" t="s">
        <v>78</v>
      </c>
      <c r="F5" s="598" t="s">
        <v>1186</v>
      </c>
      <c r="G5" s="599" t="s">
        <v>78</v>
      </c>
      <c r="H5" s="598" t="s">
        <v>1186</v>
      </c>
      <c r="I5" s="599" t="s">
        <v>78</v>
      </c>
      <c r="J5" s="600" t="s">
        <v>1186</v>
      </c>
      <c r="K5" s="650" t="s">
        <v>78</v>
      </c>
      <c r="L5" s="598" t="s">
        <v>1186</v>
      </c>
      <c r="M5" s="599" t="s">
        <v>78</v>
      </c>
      <c r="N5" s="598" t="s">
        <v>1186</v>
      </c>
    </row>
    <row r="6" spans="2:14" ht="16.5" customHeight="1">
      <c r="B6" s="770" t="s">
        <v>418</v>
      </c>
      <c r="C6" s="771" t="s">
        <v>419</v>
      </c>
      <c r="D6" s="772" t="s">
        <v>420</v>
      </c>
      <c r="E6" s="772" t="s">
        <v>421</v>
      </c>
      <c r="F6" s="770" t="s">
        <v>422</v>
      </c>
      <c r="G6" s="772" t="s">
        <v>423</v>
      </c>
      <c r="H6" s="770" t="s">
        <v>424</v>
      </c>
      <c r="I6" s="772" t="s">
        <v>440</v>
      </c>
      <c r="J6" s="772" t="s">
        <v>441</v>
      </c>
      <c r="K6" s="773" t="s">
        <v>442</v>
      </c>
      <c r="L6" s="774" t="s">
        <v>443</v>
      </c>
      <c r="M6" s="775" t="s">
        <v>537</v>
      </c>
      <c r="N6" s="774" t="s">
        <v>538</v>
      </c>
    </row>
    <row r="7" spans="2:14" ht="18" customHeight="1">
      <c r="B7" s="601" t="s">
        <v>534</v>
      </c>
      <c r="C7" s="527">
        <v>1948</v>
      </c>
      <c r="D7" s="367">
        <v>29183</v>
      </c>
      <c r="E7" s="527">
        <v>1525</v>
      </c>
      <c r="F7" s="367">
        <v>21121</v>
      </c>
      <c r="G7" s="527">
        <v>6413</v>
      </c>
      <c r="H7" s="367">
        <v>81893</v>
      </c>
      <c r="I7" s="527">
        <v>49506</v>
      </c>
      <c r="J7" s="367">
        <v>87207</v>
      </c>
      <c r="K7" s="527">
        <f t="shared" ref="K7:K8" si="0">SUM(G7,C7)</f>
        <v>8361</v>
      </c>
      <c r="L7" s="527">
        <f t="shared" ref="L7:L8" si="1">SUM(H7,D7)</f>
        <v>111076</v>
      </c>
      <c r="M7" s="527">
        <f>SUM(E7+I7)</f>
        <v>51031</v>
      </c>
      <c r="N7" s="527">
        <f>SUM(F7+J7)</f>
        <v>108328</v>
      </c>
    </row>
    <row r="8" spans="2:14" ht="18" customHeight="1">
      <c r="B8" s="601" t="s">
        <v>533</v>
      </c>
      <c r="C8" s="602">
        <v>78</v>
      </c>
      <c r="D8" s="602">
        <v>7420</v>
      </c>
      <c r="E8" s="602">
        <v>48</v>
      </c>
      <c r="F8" s="602">
        <v>6296</v>
      </c>
      <c r="G8" s="602">
        <v>141</v>
      </c>
      <c r="H8" s="602">
        <v>10319</v>
      </c>
      <c r="I8" s="602">
        <v>529</v>
      </c>
      <c r="J8" s="602">
        <v>19294</v>
      </c>
      <c r="K8" s="602">
        <f t="shared" si="0"/>
        <v>219</v>
      </c>
      <c r="L8" s="527">
        <f t="shared" si="1"/>
        <v>17739</v>
      </c>
      <c r="M8" s="602">
        <f>SUM(E8+I8)</f>
        <v>577</v>
      </c>
      <c r="N8" s="527">
        <f>SUM(F8+J8)</f>
        <v>25590</v>
      </c>
    </row>
    <row r="9" spans="2:14" ht="18" customHeight="1">
      <c r="B9" s="603" t="s">
        <v>439</v>
      </c>
      <c r="C9" s="604">
        <f t="shared" ref="C9:D9" si="2">SUM(C7:C8)</f>
        <v>2026</v>
      </c>
      <c r="D9" s="604">
        <f t="shared" si="2"/>
        <v>36603</v>
      </c>
      <c r="E9" s="604">
        <f t="shared" ref="E9:N9" si="3">SUM(E7:E8)</f>
        <v>1573</v>
      </c>
      <c r="F9" s="604">
        <f t="shared" si="3"/>
        <v>27417</v>
      </c>
      <c r="G9" s="604">
        <f t="shared" ref="G9:H9" si="4">SUM(G7:G8)</f>
        <v>6554</v>
      </c>
      <c r="H9" s="604">
        <f t="shared" si="4"/>
        <v>92212</v>
      </c>
      <c r="I9" s="604">
        <f t="shared" si="3"/>
        <v>50035</v>
      </c>
      <c r="J9" s="604">
        <f t="shared" si="3"/>
        <v>106501</v>
      </c>
      <c r="K9" s="604">
        <f t="shared" ref="K9:L9" si="5">SUM(K7:K8)</f>
        <v>8580</v>
      </c>
      <c r="L9" s="402">
        <f t="shared" si="5"/>
        <v>128815</v>
      </c>
      <c r="M9" s="604">
        <f t="shared" si="3"/>
        <v>51608</v>
      </c>
      <c r="N9" s="402">
        <f t="shared" si="3"/>
        <v>133918</v>
      </c>
    </row>
    <row r="10" spans="2:14">
      <c r="K10" s="605"/>
      <c r="L10" s="605"/>
      <c r="M10" s="605"/>
      <c r="N10" s="747" t="s">
        <v>1680</v>
      </c>
    </row>
    <row r="11" spans="2:14">
      <c r="K11" s="605"/>
      <c r="L11" s="605"/>
      <c r="M11" s="605"/>
      <c r="N11" s="606"/>
    </row>
    <row r="12" spans="2:14">
      <c r="B12" s="1500" t="s">
        <v>1569</v>
      </c>
      <c r="C12" s="1500"/>
      <c r="D12" s="1500"/>
      <c r="E12" s="1500"/>
      <c r="F12" s="1500"/>
      <c r="G12" s="1500"/>
      <c r="H12" s="1500"/>
      <c r="I12" s="1500"/>
      <c r="J12" s="1500"/>
      <c r="K12" s="1500"/>
      <c r="L12" s="1500"/>
      <c r="M12" s="1500"/>
      <c r="N12" s="1500"/>
    </row>
    <row r="13" spans="2:14" s="597" customFormat="1" ht="21.75" customHeight="1">
      <c r="B13" s="1494" t="str">
        <f>CONCATENATE("Number of Persons usually working in rural and urban Establishments in the district of ",District!A1)</f>
        <v>Number of Persons usually working in rural and urban Establishments in the district of Bankura</v>
      </c>
      <c r="C13" s="1494"/>
      <c r="D13" s="1494"/>
      <c r="E13" s="1494"/>
      <c r="F13" s="1494"/>
      <c r="G13" s="1494"/>
      <c r="H13" s="1494"/>
      <c r="I13" s="1494"/>
      <c r="J13" s="1494"/>
      <c r="K13" s="1494"/>
      <c r="L13" s="1494"/>
      <c r="M13" s="1494"/>
      <c r="N13" s="1494"/>
    </row>
    <row r="14" spans="2:14" ht="15" customHeight="1">
      <c r="B14" s="1498" t="s">
        <v>1184</v>
      </c>
      <c r="C14" s="1495" t="s">
        <v>1245</v>
      </c>
      <c r="D14" s="1495"/>
      <c r="E14" s="1495"/>
      <c r="F14" s="1496"/>
      <c r="G14" s="1497" t="s">
        <v>1246</v>
      </c>
      <c r="H14" s="1495"/>
      <c r="I14" s="1495"/>
      <c r="J14" s="1496"/>
      <c r="K14" s="1495" t="s">
        <v>646</v>
      </c>
      <c r="L14" s="1495"/>
      <c r="M14" s="1495"/>
      <c r="N14" s="1496"/>
    </row>
    <row r="15" spans="2:14" ht="15" customHeight="1">
      <c r="B15" s="1499"/>
      <c r="C15" s="1495">
        <v>2005</v>
      </c>
      <c r="D15" s="1496"/>
      <c r="E15" s="1495">
        <v>2013</v>
      </c>
      <c r="F15" s="1496"/>
      <c r="G15" s="1495">
        <v>2005</v>
      </c>
      <c r="H15" s="1496"/>
      <c r="I15" s="1495">
        <v>2013</v>
      </c>
      <c r="J15" s="1496"/>
      <c r="K15" s="1495">
        <v>2005</v>
      </c>
      <c r="L15" s="1496"/>
      <c r="M15" s="1495">
        <v>2013</v>
      </c>
      <c r="N15" s="1496"/>
    </row>
    <row r="16" spans="2:14" ht="27.75" customHeight="1">
      <c r="B16" s="1499"/>
      <c r="C16" s="599" t="s">
        <v>78</v>
      </c>
      <c r="D16" s="598" t="s">
        <v>1186</v>
      </c>
      <c r="E16" s="599" t="s">
        <v>78</v>
      </c>
      <c r="F16" s="598" t="s">
        <v>1186</v>
      </c>
      <c r="G16" s="599" t="s">
        <v>78</v>
      </c>
      <c r="H16" s="598" t="s">
        <v>1186</v>
      </c>
      <c r="I16" s="599" t="s">
        <v>78</v>
      </c>
      <c r="J16" s="598" t="s">
        <v>1186</v>
      </c>
      <c r="K16" s="599" t="s">
        <v>78</v>
      </c>
      <c r="L16" s="598" t="s">
        <v>1186</v>
      </c>
      <c r="M16" s="599" t="s">
        <v>78</v>
      </c>
      <c r="N16" s="598" t="s">
        <v>1186</v>
      </c>
    </row>
    <row r="17" spans="2:14" ht="15" customHeight="1">
      <c r="B17" s="770" t="s">
        <v>418</v>
      </c>
      <c r="C17" s="771" t="s">
        <v>419</v>
      </c>
      <c r="D17" s="770" t="s">
        <v>420</v>
      </c>
      <c r="E17" s="771" t="s">
        <v>421</v>
      </c>
      <c r="F17" s="770" t="s">
        <v>422</v>
      </c>
      <c r="G17" s="772" t="s">
        <v>423</v>
      </c>
      <c r="H17" s="770" t="s">
        <v>424</v>
      </c>
      <c r="I17" s="771" t="s">
        <v>440</v>
      </c>
      <c r="J17" s="770" t="s">
        <v>441</v>
      </c>
      <c r="K17" s="773" t="s">
        <v>442</v>
      </c>
      <c r="L17" s="774" t="s">
        <v>443</v>
      </c>
      <c r="M17" s="775" t="s">
        <v>537</v>
      </c>
      <c r="N17" s="774" t="s">
        <v>538</v>
      </c>
    </row>
    <row r="18" spans="2:14" ht="18" customHeight="1">
      <c r="B18" s="601" t="s">
        <v>534</v>
      </c>
      <c r="C18" s="1073">
        <v>7688</v>
      </c>
      <c r="D18" s="367">
        <v>115339</v>
      </c>
      <c r="E18" s="527">
        <v>5778</v>
      </c>
      <c r="F18" s="367">
        <v>90847</v>
      </c>
      <c r="G18" s="527">
        <v>10357</v>
      </c>
      <c r="H18" s="367">
        <v>104975</v>
      </c>
      <c r="I18" s="527">
        <v>56841</v>
      </c>
      <c r="J18" s="367">
        <v>103265</v>
      </c>
      <c r="K18" s="527">
        <v>18045</v>
      </c>
      <c r="L18" s="372">
        <v>220314</v>
      </c>
      <c r="M18" s="527">
        <f>SUM(E18+I18)</f>
        <v>62619</v>
      </c>
      <c r="N18" s="372">
        <f>SUM(F18+J18)</f>
        <v>194112</v>
      </c>
    </row>
    <row r="19" spans="2:14" ht="18" customHeight="1">
      <c r="B19" s="601" t="s">
        <v>533</v>
      </c>
      <c r="C19" s="527">
        <v>288</v>
      </c>
      <c r="D19" s="527">
        <v>37349</v>
      </c>
      <c r="E19" s="367">
        <v>197</v>
      </c>
      <c r="F19" s="527">
        <v>24431</v>
      </c>
      <c r="G19" s="367">
        <v>297</v>
      </c>
      <c r="H19" s="527">
        <v>13055</v>
      </c>
      <c r="I19" s="367">
        <v>669</v>
      </c>
      <c r="J19" s="527">
        <v>23229</v>
      </c>
      <c r="K19" s="527">
        <v>585</v>
      </c>
      <c r="L19" s="527">
        <v>50404</v>
      </c>
      <c r="M19" s="527">
        <f>SUM(E19+I19)</f>
        <v>866</v>
      </c>
      <c r="N19" s="527">
        <f>SUM(F19+J19)</f>
        <v>47660</v>
      </c>
    </row>
    <row r="20" spans="2:14" ht="18" customHeight="1">
      <c r="B20" s="603" t="s">
        <v>439</v>
      </c>
      <c r="C20" s="402">
        <f t="shared" ref="C20:D20" si="6">SUM(C18:C19)</f>
        <v>7976</v>
      </c>
      <c r="D20" s="402">
        <f t="shared" si="6"/>
        <v>152688</v>
      </c>
      <c r="E20" s="402">
        <f t="shared" ref="E20:N20" si="7">SUM(E18:E19)</f>
        <v>5975</v>
      </c>
      <c r="F20" s="402">
        <f t="shared" si="7"/>
        <v>115278</v>
      </c>
      <c r="G20" s="402">
        <f t="shared" ref="G20:H20" si="8">SUM(G18:G19)</f>
        <v>10654</v>
      </c>
      <c r="H20" s="402">
        <f t="shared" si="8"/>
        <v>118030</v>
      </c>
      <c r="I20" s="402">
        <f t="shared" si="7"/>
        <v>57510</v>
      </c>
      <c r="J20" s="402">
        <f t="shared" si="7"/>
        <v>126494</v>
      </c>
      <c r="K20" s="402">
        <v>18630</v>
      </c>
      <c r="L20" s="402">
        <f t="shared" ref="L20" si="9">SUM(L18:L19)</f>
        <v>270718</v>
      </c>
      <c r="M20" s="402">
        <f t="shared" si="7"/>
        <v>63485</v>
      </c>
      <c r="N20" s="402">
        <f t="shared" si="7"/>
        <v>241772</v>
      </c>
    </row>
    <row r="21" spans="2:14">
      <c r="K21" s="605"/>
      <c r="L21" s="605"/>
      <c r="M21" s="605"/>
      <c r="N21" s="747" t="s">
        <v>1680</v>
      </c>
    </row>
    <row r="22" spans="2:14">
      <c r="K22" s="605"/>
      <c r="L22" s="605"/>
      <c r="M22" s="605"/>
      <c r="N22" s="606"/>
    </row>
    <row r="23" spans="2:14">
      <c r="C23" s="1223" t="s">
        <v>1570</v>
      </c>
      <c r="D23" s="1223"/>
      <c r="E23" s="1223"/>
      <c r="F23" s="1223"/>
      <c r="G23" s="1223"/>
      <c r="H23" s="1223"/>
      <c r="I23" s="1223"/>
      <c r="J23" s="1223"/>
      <c r="K23" s="1223"/>
      <c r="L23" s="1223"/>
      <c r="M23" s="1223"/>
    </row>
    <row r="24" spans="2:14" s="597" customFormat="1" ht="38.25" customHeight="1">
      <c r="B24" s="596"/>
      <c r="C24" s="1400" t="str">
        <f>CONCATENATE("Percentage of Hired Workers and Females employed in
 Non-agricultural Establishments in the district of ",District!A1)</f>
        <v>Percentage of Hired Workers and Females employed in
 Non-agricultural Establishments in the district of Bankura</v>
      </c>
      <c r="D24" s="1400"/>
      <c r="E24" s="1400"/>
      <c r="F24" s="1400"/>
      <c r="G24" s="1400"/>
      <c r="H24" s="1400"/>
      <c r="I24" s="1400"/>
      <c r="J24" s="1400"/>
      <c r="K24" s="1400"/>
      <c r="L24" s="1400"/>
      <c r="M24" s="1400"/>
    </row>
    <row r="25" spans="2:14" ht="15" customHeight="1">
      <c r="B25" s="597"/>
      <c r="C25" s="1186" t="s">
        <v>1184</v>
      </c>
      <c r="D25" s="1187"/>
      <c r="E25" s="1184"/>
      <c r="F25" s="1193" t="s">
        <v>1189</v>
      </c>
      <c r="G25" s="1191"/>
      <c r="H25" s="1191"/>
      <c r="I25" s="1192"/>
      <c r="J25" s="1193" t="s">
        <v>1265</v>
      </c>
      <c r="K25" s="1191"/>
      <c r="L25" s="1191"/>
      <c r="M25" s="1192"/>
    </row>
    <row r="26" spans="2:14" ht="15" customHeight="1">
      <c r="B26" s="24"/>
      <c r="C26" s="1242"/>
      <c r="D26" s="1218"/>
      <c r="E26" s="1185"/>
      <c r="F26" s="1193">
        <v>2005</v>
      </c>
      <c r="G26" s="1192"/>
      <c r="H26" s="1193">
        <v>2013</v>
      </c>
      <c r="I26" s="1192"/>
      <c r="J26" s="1193">
        <v>2005</v>
      </c>
      <c r="K26" s="1192"/>
      <c r="L26" s="1193">
        <v>2013</v>
      </c>
      <c r="M26" s="1192"/>
    </row>
    <row r="27" spans="2:14" ht="15" customHeight="1">
      <c r="C27" s="1201" t="s">
        <v>418</v>
      </c>
      <c r="D27" s="1202"/>
      <c r="E27" s="1257"/>
      <c r="F27" s="1382" t="s">
        <v>419</v>
      </c>
      <c r="G27" s="1384"/>
      <c r="H27" s="1382" t="s">
        <v>420</v>
      </c>
      <c r="I27" s="1384"/>
      <c r="J27" s="1382" t="s">
        <v>421</v>
      </c>
      <c r="K27" s="1384"/>
      <c r="L27" s="1382" t="s">
        <v>422</v>
      </c>
      <c r="M27" s="1384"/>
    </row>
    <row r="28" spans="2:14" ht="18" customHeight="1">
      <c r="C28" s="1188" t="s">
        <v>534</v>
      </c>
      <c r="D28" s="1183"/>
      <c r="E28" s="1200"/>
      <c r="F28" s="1248">
        <v>44.07</v>
      </c>
      <c r="G28" s="1409"/>
      <c r="H28" s="1248">
        <v>39.76</v>
      </c>
      <c r="I28" s="1409"/>
      <c r="J28" s="1248">
        <v>15.89</v>
      </c>
      <c r="K28" s="1409"/>
      <c r="L28" s="1248">
        <v>17.95</v>
      </c>
      <c r="M28" s="1409"/>
    </row>
    <row r="29" spans="2:14" ht="18" customHeight="1">
      <c r="C29" s="1188" t="s">
        <v>533</v>
      </c>
      <c r="D29" s="1183"/>
      <c r="E29" s="1200"/>
      <c r="F29" s="1248">
        <v>60.86</v>
      </c>
      <c r="G29" s="1409"/>
      <c r="H29" s="1248">
        <v>37.94</v>
      </c>
      <c r="I29" s="1409"/>
      <c r="J29" s="1373">
        <v>11.7</v>
      </c>
      <c r="K29" s="1374"/>
      <c r="L29" s="1373">
        <v>13.81</v>
      </c>
      <c r="M29" s="1374"/>
    </row>
    <row r="30" spans="2:14" ht="18" customHeight="1">
      <c r="C30" s="1242" t="s">
        <v>439</v>
      </c>
      <c r="D30" s="1218"/>
      <c r="E30" s="1185"/>
      <c r="F30" s="1377">
        <v>47.2</v>
      </c>
      <c r="G30" s="1378"/>
      <c r="H30" s="1377">
        <v>39.4</v>
      </c>
      <c r="I30" s="1378"/>
      <c r="J30" s="1268">
        <v>15.11</v>
      </c>
      <c r="K30" s="1416"/>
      <c r="L30" s="1268">
        <v>17.13</v>
      </c>
      <c r="M30" s="1416"/>
    </row>
    <row r="31" spans="2:14">
      <c r="E31" s="172"/>
      <c r="F31" s="172"/>
      <c r="G31" s="2"/>
      <c r="H31" s="2"/>
      <c r="M31" s="747" t="s">
        <v>1680</v>
      </c>
    </row>
    <row r="32" spans="2:14">
      <c r="E32" s="172"/>
      <c r="F32" s="172"/>
      <c r="G32" s="2"/>
      <c r="H32" s="2"/>
      <c r="I32" s="2"/>
    </row>
  </sheetData>
  <mergeCells count="53">
    <mergeCell ref="B1:N1"/>
    <mergeCell ref="B12:N12"/>
    <mergeCell ref="H28:I28"/>
    <mergeCell ref="L28:M28"/>
    <mergeCell ref="G4:H4"/>
    <mergeCell ref="I15:J15"/>
    <mergeCell ref="K15:L15"/>
    <mergeCell ref="M15:N15"/>
    <mergeCell ref="B13:N13"/>
    <mergeCell ref="F27:G27"/>
    <mergeCell ref="J25:M25"/>
    <mergeCell ref="G3:J3"/>
    <mergeCell ref="I4:J4"/>
    <mergeCell ref="J26:K26"/>
    <mergeCell ref="J27:K27"/>
    <mergeCell ref="C23:M23"/>
    <mergeCell ref="F29:G29"/>
    <mergeCell ref="F28:G28"/>
    <mergeCell ref="F30:G30"/>
    <mergeCell ref="H26:I26"/>
    <mergeCell ref="H30:I30"/>
    <mergeCell ref="H27:I27"/>
    <mergeCell ref="H29:I29"/>
    <mergeCell ref="L30:M30"/>
    <mergeCell ref="J29:K29"/>
    <mergeCell ref="J28:K28"/>
    <mergeCell ref="J30:K30"/>
    <mergeCell ref="L29:M29"/>
    <mergeCell ref="L26:M26"/>
    <mergeCell ref="C24:M24"/>
    <mergeCell ref="L27:M27"/>
    <mergeCell ref="F25:I25"/>
    <mergeCell ref="F26:G26"/>
    <mergeCell ref="B2:N2"/>
    <mergeCell ref="G15:H15"/>
    <mergeCell ref="C4:D4"/>
    <mergeCell ref="E4:F4"/>
    <mergeCell ref="G14:J14"/>
    <mergeCell ref="K14:N14"/>
    <mergeCell ref="C14:F14"/>
    <mergeCell ref="K3:N3"/>
    <mergeCell ref="K4:L4"/>
    <mergeCell ref="M4:N4"/>
    <mergeCell ref="B3:B5"/>
    <mergeCell ref="C15:D15"/>
    <mergeCell ref="E15:F15"/>
    <mergeCell ref="B14:B16"/>
    <mergeCell ref="C3:F3"/>
    <mergeCell ref="C30:E30"/>
    <mergeCell ref="C25:E26"/>
    <mergeCell ref="C27:E27"/>
    <mergeCell ref="C29:E29"/>
    <mergeCell ref="C28:E28"/>
  </mergeCells>
  <phoneticPr fontId="0" type="noConversion"/>
  <printOptions horizontalCentered="1"/>
  <pageMargins left="0.1" right="0.1" top="0.38" bottom="0.18" header="0.35" footer="0.1"/>
  <pageSetup paperSize="9" orientation="landscape" r:id="rId1"/>
  <headerFooter alignWithMargins="0"/>
</worksheet>
</file>

<file path=xl/worksheets/sheet63.xml><?xml version="1.0" encoding="utf-8"?>
<worksheet xmlns="http://schemas.openxmlformats.org/spreadsheetml/2006/main" xmlns:r="http://schemas.openxmlformats.org/officeDocument/2006/relationships">
  <sheetPr codeName="Sheet75"/>
  <dimension ref="A1:J26"/>
  <sheetViews>
    <sheetView workbookViewId="0">
      <selection activeCell="M30" sqref="M30"/>
    </sheetView>
  </sheetViews>
  <sheetFormatPr defaultRowHeight="12.75"/>
  <cols>
    <col min="1" max="1" width="32.42578125" style="172" customWidth="1"/>
    <col min="2" max="6" width="14.42578125" style="172" customWidth="1"/>
    <col min="7" max="7" width="14.85546875" style="172" customWidth="1"/>
    <col min="8" max="16384" width="9.140625" style="172"/>
  </cols>
  <sheetData>
    <row r="1" spans="1:10" ht="13.5" customHeight="1">
      <c r="A1" s="1181" t="s">
        <v>1567</v>
      </c>
      <c r="B1" s="1181"/>
      <c r="C1" s="1181"/>
      <c r="D1" s="1181"/>
      <c r="E1" s="1181"/>
      <c r="F1" s="1181"/>
    </row>
    <row r="2" spans="1:10" ht="32.25" customHeight="1">
      <c r="A2" s="1235" t="str">
        <f>CONCATENATE("Applicants on the Live-register of Employment Exchanges
 in the district of ",District!A1," by main occupational group")</f>
        <v>Applicants on the Live-register of Employment Exchanges
 in the district of Bankura by main occupational group</v>
      </c>
      <c r="B2" s="1235"/>
      <c r="C2" s="1235"/>
      <c r="D2" s="1235"/>
      <c r="E2" s="1235"/>
      <c r="F2" s="1235"/>
      <c r="G2" s="19"/>
      <c r="H2" s="19"/>
      <c r="I2" s="19"/>
      <c r="J2" s="12"/>
    </row>
    <row r="3" spans="1:10" ht="13.5" customHeight="1">
      <c r="B3" s="8"/>
      <c r="C3" s="8"/>
      <c r="D3" s="8"/>
      <c r="E3" s="8"/>
      <c r="F3" s="538" t="s">
        <v>452</v>
      </c>
      <c r="G3" s="8"/>
      <c r="H3" s="12"/>
      <c r="I3" s="12"/>
      <c r="J3" s="12"/>
    </row>
    <row r="4" spans="1:10" ht="15.75" customHeight="1">
      <c r="A4" s="230" t="s">
        <v>1190</v>
      </c>
      <c r="B4" s="58">
        <f>District!B10</f>
        <v>2010</v>
      </c>
      <c r="C4" s="210">
        <f>District!C10</f>
        <v>2011</v>
      </c>
      <c r="D4" s="58">
        <f>District!D10</f>
        <v>2012</v>
      </c>
      <c r="E4" s="210">
        <f>District!E10</f>
        <v>2013</v>
      </c>
      <c r="F4" s="210">
        <f>District!F10</f>
        <v>2014</v>
      </c>
      <c r="G4" s="189"/>
      <c r="H4" s="189"/>
      <c r="I4" s="189"/>
      <c r="J4" s="177"/>
    </row>
    <row r="5" spans="1:10" ht="15.75" customHeight="1">
      <c r="A5" s="221" t="s">
        <v>418</v>
      </c>
      <c r="B5" s="213" t="s">
        <v>419</v>
      </c>
      <c r="C5" s="222" t="s">
        <v>420</v>
      </c>
      <c r="D5" s="215" t="s">
        <v>421</v>
      </c>
      <c r="E5" s="222" t="s">
        <v>422</v>
      </c>
      <c r="F5" s="213" t="s">
        <v>423</v>
      </c>
      <c r="G5" s="594"/>
      <c r="H5" s="595"/>
      <c r="I5" s="595"/>
      <c r="J5" s="595"/>
    </row>
    <row r="6" spans="1:10" ht="23.25" customHeight="1">
      <c r="A6" s="117" t="s">
        <v>1191</v>
      </c>
      <c r="B6" s="183">
        <v>3026</v>
      </c>
      <c r="C6" s="183">
        <v>2403</v>
      </c>
      <c r="D6" s="183">
        <v>2001</v>
      </c>
      <c r="E6" s="223">
        <v>2296</v>
      </c>
      <c r="F6" s="223">
        <v>2354</v>
      </c>
      <c r="G6" s="177"/>
      <c r="H6" s="177"/>
      <c r="I6" s="177"/>
    </row>
    <row r="7" spans="1:10" ht="23.25" customHeight="1">
      <c r="A7" s="29" t="s">
        <v>236</v>
      </c>
      <c r="B7" s="183">
        <v>8581</v>
      </c>
      <c r="C7" s="183">
        <v>6855</v>
      </c>
      <c r="D7" s="183">
        <v>4829</v>
      </c>
      <c r="E7" s="183">
        <v>5358</v>
      </c>
      <c r="F7" s="183">
        <v>5544</v>
      </c>
      <c r="G7" s="177"/>
      <c r="H7" s="177"/>
      <c r="I7" s="177"/>
    </row>
    <row r="8" spans="1:10" ht="23.25" customHeight="1">
      <c r="A8" s="29" t="s">
        <v>1192</v>
      </c>
      <c r="B8" s="183">
        <v>58959</v>
      </c>
      <c r="C8" s="183">
        <v>69925</v>
      </c>
      <c r="D8" s="183">
        <v>87084</v>
      </c>
      <c r="E8" s="183">
        <v>94166</v>
      </c>
      <c r="F8" s="183">
        <v>96245</v>
      </c>
      <c r="G8" s="177"/>
      <c r="H8" s="177"/>
      <c r="I8" s="177"/>
    </row>
    <row r="9" spans="1:10" ht="23.25" customHeight="1">
      <c r="A9" s="29" t="s">
        <v>1195</v>
      </c>
      <c r="B9" s="183">
        <v>12053</v>
      </c>
      <c r="C9" s="183">
        <v>19531</v>
      </c>
      <c r="D9" s="183">
        <v>33450</v>
      </c>
      <c r="E9" s="183">
        <v>36884</v>
      </c>
      <c r="F9" s="183">
        <v>38962</v>
      </c>
      <c r="G9" s="177"/>
      <c r="H9" s="177"/>
      <c r="I9" s="177"/>
    </row>
    <row r="10" spans="1:10" ht="23.25" customHeight="1">
      <c r="A10" s="29" t="s">
        <v>1175</v>
      </c>
      <c r="B10" s="183">
        <v>3581</v>
      </c>
      <c r="C10" s="183">
        <v>3889</v>
      </c>
      <c r="D10" s="183">
        <v>2756</v>
      </c>
      <c r="E10" s="183">
        <v>3079</v>
      </c>
      <c r="F10" s="183">
        <v>3188</v>
      </c>
      <c r="G10" s="177"/>
      <c r="H10" s="177"/>
      <c r="I10" s="177"/>
    </row>
    <row r="11" spans="1:10" ht="23.25" customHeight="1">
      <c r="A11" s="29" t="s">
        <v>237</v>
      </c>
      <c r="B11" s="183">
        <v>102428</v>
      </c>
      <c r="C11" s="183">
        <v>90183</v>
      </c>
      <c r="D11" s="183">
        <v>100492</v>
      </c>
      <c r="E11" s="183">
        <v>107455</v>
      </c>
      <c r="F11" s="183">
        <v>112966</v>
      </c>
      <c r="G11" s="177"/>
      <c r="H11" s="177"/>
      <c r="I11" s="177"/>
    </row>
    <row r="12" spans="1:10" ht="23.25" customHeight="1">
      <c r="A12" s="56" t="s">
        <v>592</v>
      </c>
      <c r="B12" s="183">
        <v>110411</v>
      </c>
      <c r="C12" s="183">
        <v>109808</v>
      </c>
      <c r="D12" s="183">
        <v>79346</v>
      </c>
      <c r="E12" s="248">
        <v>83588</v>
      </c>
      <c r="F12" s="248">
        <v>86841</v>
      </c>
      <c r="G12" s="177"/>
      <c r="H12" s="177"/>
      <c r="I12" s="177"/>
    </row>
    <row r="13" spans="1:10" ht="20.100000000000001" customHeight="1">
      <c r="A13" s="209" t="s">
        <v>1196</v>
      </c>
      <c r="B13" s="179">
        <f>SUM(B6:B12)</f>
        <v>299039</v>
      </c>
      <c r="C13" s="179">
        <f>SUM(C6:C12)</f>
        <v>302594</v>
      </c>
      <c r="D13" s="179">
        <f>SUM(D6:D12)</f>
        <v>309958</v>
      </c>
      <c r="E13" s="179">
        <f>SUM(E6:E12)</f>
        <v>332826</v>
      </c>
      <c r="F13" s="179">
        <f>SUM(F6:F12)</f>
        <v>346100</v>
      </c>
      <c r="G13" s="177"/>
      <c r="H13" s="177"/>
      <c r="I13" s="177"/>
    </row>
    <row r="14" spans="1:10" ht="18" customHeight="1">
      <c r="A14" s="326"/>
      <c r="B14" s="1236" t="s">
        <v>1454</v>
      </c>
      <c r="C14" s="1236"/>
      <c r="D14" s="1236"/>
      <c r="E14" s="1236"/>
      <c r="F14" s="1236"/>
      <c r="G14" s="177"/>
      <c r="H14" s="177"/>
      <c r="I14" s="177"/>
    </row>
    <row r="15" spans="1:10" ht="18" customHeight="1">
      <c r="A15" s="326"/>
      <c r="B15" s="713"/>
      <c r="C15" s="713"/>
      <c r="D15" s="713"/>
      <c r="E15" s="713"/>
      <c r="F15" s="713"/>
      <c r="G15" s="177"/>
      <c r="H15" s="177"/>
      <c r="I15" s="177"/>
    </row>
    <row r="16" spans="1:10" ht="11.25" customHeight="1">
      <c r="A16" s="326"/>
      <c r="B16" s="113"/>
      <c r="C16" s="113"/>
      <c r="D16" s="113"/>
      <c r="E16" s="113"/>
      <c r="F16" s="113"/>
      <c r="G16" s="177"/>
      <c r="H16" s="177"/>
      <c r="I16" s="177"/>
    </row>
    <row r="17" spans="1:10" ht="13.5" customHeight="1">
      <c r="A17" s="1181" t="s">
        <v>1568</v>
      </c>
      <c r="B17" s="1181"/>
      <c r="C17" s="1181"/>
      <c r="D17" s="1181"/>
      <c r="E17" s="1181"/>
      <c r="F17" s="1181"/>
      <c r="I17" s="177"/>
    </row>
    <row r="18" spans="1:10" s="206" customFormat="1" ht="29.25" customHeight="1">
      <c r="A18" s="1235" t="str">
        <f>CONCATENATE("Registration and Placement effected by Employment Exchanges 
in the district of ",District!A1)</f>
        <v>Registration and Placement effected by Employment Exchanges 
in the district of Bankura</v>
      </c>
      <c r="B18" s="1235"/>
      <c r="C18" s="1235"/>
      <c r="D18" s="1235"/>
      <c r="E18" s="1235"/>
      <c r="F18" s="1235"/>
    </row>
    <row r="19" spans="1:10" ht="12.75" customHeight="1">
      <c r="A19" s="206"/>
      <c r="B19" s="8"/>
      <c r="C19" s="8"/>
      <c r="D19" s="8"/>
      <c r="E19" s="8"/>
      <c r="F19" s="593" t="s">
        <v>452</v>
      </c>
    </row>
    <row r="20" spans="1:10" ht="16.5" customHeight="1">
      <c r="A20" s="230" t="s">
        <v>1074</v>
      </c>
      <c r="B20" s="58">
        <f>District!B10</f>
        <v>2010</v>
      </c>
      <c r="C20" s="210">
        <f>District!C10</f>
        <v>2011</v>
      </c>
      <c r="D20" s="58">
        <f>District!D10</f>
        <v>2012</v>
      </c>
      <c r="E20" s="210">
        <f>District!E10</f>
        <v>2013</v>
      </c>
      <c r="F20" s="210">
        <f>District!F10</f>
        <v>2014</v>
      </c>
    </row>
    <row r="21" spans="1:10" ht="16.5" customHeight="1">
      <c r="A21" s="221" t="s">
        <v>418</v>
      </c>
      <c r="B21" s="221" t="s">
        <v>419</v>
      </c>
      <c r="C21" s="213" t="s">
        <v>420</v>
      </c>
      <c r="D21" s="459" t="s">
        <v>421</v>
      </c>
      <c r="E21" s="213" t="s">
        <v>422</v>
      </c>
      <c r="F21" s="214" t="s">
        <v>423</v>
      </c>
      <c r="J21" s="177"/>
    </row>
    <row r="22" spans="1:10" ht="30" customHeight="1">
      <c r="A22" s="117" t="s">
        <v>1197</v>
      </c>
      <c r="B22" s="225">
        <v>11389</v>
      </c>
      <c r="C22" s="225">
        <v>10598</v>
      </c>
      <c r="D22" s="490">
        <v>10001</v>
      </c>
      <c r="E22" s="225">
        <v>24646</v>
      </c>
      <c r="F22" s="225">
        <v>13454</v>
      </c>
    </row>
    <row r="23" spans="1:10" ht="30" customHeight="1">
      <c r="A23" s="29" t="s">
        <v>1198</v>
      </c>
      <c r="B23" s="224">
        <v>137</v>
      </c>
      <c r="C23" s="224">
        <v>71</v>
      </c>
      <c r="D23" s="490">
        <v>117</v>
      </c>
      <c r="E23" s="224">
        <v>13</v>
      </c>
      <c r="F23" s="224">
        <v>56</v>
      </c>
    </row>
    <row r="24" spans="1:10" ht="30" customHeight="1">
      <c r="A24" s="29" t="s">
        <v>1199</v>
      </c>
      <c r="B24" s="224">
        <v>70</v>
      </c>
      <c r="C24" s="224">
        <v>40</v>
      </c>
      <c r="D24" s="490">
        <v>19</v>
      </c>
      <c r="E24" s="224">
        <v>43</v>
      </c>
      <c r="F24" s="224">
        <v>22</v>
      </c>
    </row>
    <row r="25" spans="1:10" ht="30" customHeight="1">
      <c r="A25" s="56" t="s">
        <v>1200</v>
      </c>
      <c r="B25" s="41">
        <f>'10.1,10.2'!B13</f>
        <v>299039</v>
      </c>
      <c r="C25" s="41">
        <f>'10.1,10.2'!C13</f>
        <v>302594</v>
      </c>
      <c r="D25" s="41">
        <f>'10.1,10.2'!D13</f>
        <v>309958</v>
      </c>
      <c r="E25" s="41">
        <f>'10.1,10.2'!E13</f>
        <v>332826</v>
      </c>
      <c r="F25" s="41">
        <f>'10.1,10.2'!F13</f>
        <v>346100</v>
      </c>
    </row>
    <row r="26" spans="1:10">
      <c r="A26" s="326"/>
      <c r="B26" s="15"/>
      <c r="C26" s="15"/>
      <c r="D26" s="15"/>
      <c r="E26" s="2"/>
      <c r="F26" s="722" t="s">
        <v>1452</v>
      </c>
    </row>
  </sheetData>
  <mergeCells count="5">
    <mergeCell ref="A1:F1"/>
    <mergeCell ref="A17:F17"/>
    <mergeCell ref="A2:F2"/>
    <mergeCell ref="A18:F18"/>
    <mergeCell ref="B14:F14"/>
  </mergeCells>
  <phoneticPr fontId="0" type="noConversion"/>
  <printOptions horizontalCentered="1"/>
  <pageMargins left="0.1" right="0.1" top="0.66" bottom="0.1" header="0.5" footer="0.1"/>
  <pageSetup paperSize="9" orientation="landscape" r:id="rId1"/>
  <headerFooter alignWithMargins="0"/>
</worksheet>
</file>

<file path=xl/worksheets/sheet64.xml><?xml version="1.0" encoding="utf-8"?>
<worksheet xmlns="http://schemas.openxmlformats.org/spreadsheetml/2006/main" xmlns:r="http://schemas.openxmlformats.org/officeDocument/2006/relationships">
  <sheetPr codeName="Sheet40"/>
  <dimension ref="A1:G46"/>
  <sheetViews>
    <sheetView topLeftCell="A19" workbookViewId="0">
      <selection activeCell="M30" sqref="M30"/>
    </sheetView>
  </sheetViews>
  <sheetFormatPr defaultRowHeight="12.4" customHeight="1"/>
  <cols>
    <col min="1" max="1" width="18.140625" style="172" customWidth="1"/>
    <col min="2" max="2" width="10.28515625" style="172" customWidth="1"/>
    <col min="3" max="3" width="11.7109375" style="172" customWidth="1"/>
    <col min="4" max="4" width="10.42578125" style="172" customWidth="1"/>
    <col min="5" max="5" width="11.7109375" style="172" customWidth="1"/>
    <col min="6" max="6" width="10.140625" style="172" customWidth="1"/>
    <col min="7" max="7" width="11.7109375" style="172" customWidth="1"/>
    <col min="8" max="16384" width="9.140625" style="172"/>
  </cols>
  <sheetData>
    <row r="1" spans="1:7" ht="16.5" customHeight="1">
      <c r="A1" s="1181" t="s">
        <v>1566</v>
      </c>
      <c r="B1" s="1181"/>
      <c r="C1" s="1181"/>
      <c r="D1" s="1181"/>
      <c r="E1" s="1181"/>
      <c r="F1" s="1181"/>
      <c r="G1" s="1181"/>
    </row>
    <row r="2" spans="1:7" s="206" customFormat="1" ht="33.75" customHeight="1">
      <c r="A2" s="1400" t="str">
        <f>CONCATENATE("Assistance to Old-aged Persons, Widows and Handicapped 
in the district of ",District!A1)</f>
        <v>Assistance to Old-aged Persons, Widows and Handicapped 
in the district of Bankura</v>
      </c>
      <c r="B2" s="1400"/>
      <c r="C2" s="1400"/>
      <c r="D2" s="1400"/>
      <c r="E2" s="1400"/>
      <c r="F2" s="1400"/>
      <c r="G2" s="1400"/>
    </row>
    <row r="3" spans="1:7" ht="16.5" customHeight="1">
      <c r="A3" s="1503" t="s">
        <v>304</v>
      </c>
      <c r="B3" s="1193" t="s">
        <v>1201</v>
      </c>
      <c r="C3" s="1192"/>
      <c r="D3" s="1193" t="s">
        <v>1205</v>
      </c>
      <c r="E3" s="1192"/>
      <c r="F3" s="1193" t="s">
        <v>1206</v>
      </c>
      <c r="G3" s="1192"/>
    </row>
    <row r="4" spans="1:7" ht="52.5" customHeight="1">
      <c r="A4" s="1504"/>
      <c r="B4" s="238" t="s">
        <v>1202</v>
      </c>
      <c r="C4" s="207" t="s">
        <v>1154</v>
      </c>
      <c r="D4" s="238" t="s">
        <v>1202</v>
      </c>
      <c r="E4" s="207" t="s">
        <v>1154</v>
      </c>
      <c r="F4" s="240" t="s">
        <v>1202</v>
      </c>
      <c r="G4" s="207" t="s">
        <v>1154</v>
      </c>
    </row>
    <row r="5" spans="1:7" ht="13.5" customHeight="1">
      <c r="A5" s="213" t="s">
        <v>418</v>
      </c>
      <c r="B5" s="221" t="s">
        <v>419</v>
      </c>
      <c r="C5" s="213" t="s">
        <v>420</v>
      </c>
      <c r="D5" s="221" t="s">
        <v>421</v>
      </c>
      <c r="E5" s="213" t="s">
        <v>422</v>
      </c>
      <c r="F5" s="459" t="s">
        <v>423</v>
      </c>
      <c r="G5" s="215" t="s">
        <v>424</v>
      </c>
    </row>
    <row r="6" spans="1:7" ht="14.25" customHeight="1">
      <c r="A6" s="33" t="str">
        <f>District!B16</f>
        <v>2009-10</v>
      </c>
      <c r="B6" s="536">
        <v>68650</v>
      </c>
      <c r="C6" s="933">
        <v>321290</v>
      </c>
      <c r="D6" s="225">
        <v>2261</v>
      </c>
      <c r="E6" s="293">
        <v>18324</v>
      </c>
      <c r="F6" s="223">
        <v>1431</v>
      </c>
      <c r="G6" s="641">
        <v>13463</v>
      </c>
    </row>
    <row r="7" spans="1:7" ht="14.25" customHeight="1">
      <c r="A7" s="33" t="str">
        <f>District!B17</f>
        <v>2010-11</v>
      </c>
      <c r="B7" s="29">
        <v>70533</v>
      </c>
      <c r="C7" s="560">
        <v>255147.25</v>
      </c>
      <c r="D7" s="33">
        <v>12789</v>
      </c>
      <c r="E7" s="156">
        <v>60901</v>
      </c>
      <c r="F7" s="33">
        <v>1877</v>
      </c>
      <c r="G7" s="560">
        <v>15406</v>
      </c>
    </row>
    <row r="8" spans="1:7" ht="14.25" customHeight="1">
      <c r="A8" s="33" t="str">
        <f>District!B18</f>
        <v>2011-12</v>
      </c>
      <c r="B8" s="24">
        <v>98317</v>
      </c>
      <c r="C8" s="560">
        <v>464385</v>
      </c>
      <c r="D8" s="33">
        <v>15239</v>
      </c>
      <c r="E8" s="156">
        <v>118784</v>
      </c>
      <c r="F8" s="33">
        <v>2407</v>
      </c>
      <c r="G8" s="560">
        <v>19519</v>
      </c>
    </row>
    <row r="9" spans="1:7" ht="14.25" customHeight="1">
      <c r="A9" s="33" t="str">
        <f>District!B19</f>
        <v>2012-13</v>
      </c>
      <c r="B9" s="24">
        <v>107117</v>
      </c>
      <c r="C9" s="560">
        <v>480764</v>
      </c>
      <c r="D9" s="33">
        <v>15430</v>
      </c>
      <c r="E9" s="156">
        <v>194124.3</v>
      </c>
      <c r="F9" s="33">
        <v>2396</v>
      </c>
      <c r="G9" s="560">
        <v>20727.45</v>
      </c>
    </row>
    <row r="10" spans="1:7" ht="14.25" customHeight="1">
      <c r="A10" s="41" t="str">
        <f>District!B20</f>
        <v>2013-14</v>
      </c>
      <c r="B10" s="622">
        <f t="shared" ref="B10:G10" si="0">SUM(B12,B22,B31)</f>
        <v>79528</v>
      </c>
      <c r="C10" s="562">
        <f t="shared" si="0"/>
        <v>601446</v>
      </c>
      <c r="D10" s="562">
        <f t="shared" si="0"/>
        <v>26946</v>
      </c>
      <c r="E10" s="626">
        <f t="shared" si="0"/>
        <v>253285</v>
      </c>
      <c r="F10" s="562">
        <f t="shared" si="0"/>
        <v>2392</v>
      </c>
      <c r="G10" s="562">
        <f t="shared" si="0"/>
        <v>22756</v>
      </c>
    </row>
    <row r="11" spans="1:7" ht="32.25" customHeight="1">
      <c r="A11" s="387" t="s">
        <v>272</v>
      </c>
      <c r="B11" s="1198" t="str">
        <f>"Year :  " &amp;  A10</f>
        <v>Year :  2013-14</v>
      </c>
      <c r="C11" s="1306"/>
      <c r="D11" s="1306"/>
      <c r="E11" s="1306"/>
      <c r="F11" s="1306"/>
      <c r="G11" s="1199"/>
    </row>
    <row r="12" spans="1:7" ht="15.75" customHeight="1">
      <c r="A12" s="454" t="s">
        <v>1077</v>
      </c>
      <c r="B12" s="284">
        <f t="shared" ref="B12:G12" si="1">SUM(B13:B21)</f>
        <v>29588</v>
      </c>
      <c r="C12" s="284">
        <f t="shared" si="1"/>
        <v>216551</v>
      </c>
      <c r="D12" s="284">
        <f t="shared" si="1"/>
        <v>8374</v>
      </c>
      <c r="E12" s="859">
        <f t="shared" si="1"/>
        <v>81282</v>
      </c>
      <c r="F12" s="284">
        <f t="shared" si="1"/>
        <v>864</v>
      </c>
      <c r="G12" s="860">
        <f t="shared" si="1"/>
        <v>8214</v>
      </c>
    </row>
    <row r="13" spans="1:7" ht="15.75" customHeight="1">
      <c r="A13" s="29" t="s">
        <v>596</v>
      </c>
      <c r="B13" s="281">
        <v>2171</v>
      </c>
      <c r="C13" s="293">
        <v>16431</v>
      </c>
      <c r="D13" s="281">
        <v>402</v>
      </c>
      <c r="E13" s="293">
        <v>4100</v>
      </c>
      <c r="F13" s="281">
        <v>70</v>
      </c>
      <c r="G13" s="186">
        <v>676</v>
      </c>
    </row>
    <row r="14" spans="1:7" ht="15.75" customHeight="1">
      <c r="A14" s="29" t="s">
        <v>365</v>
      </c>
      <c r="B14" s="861">
        <v>222</v>
      </c>
      <c r="C14" s="293">
        <v>2098</v>
      </c>
      <c r="D14" s="862">
        <v>90</v>
      </c>
      <c r="E14" s="863">
        <v>850</v>
      </c>
      <c r="F14" s="862">
        <v>75</v>
      </c>
      <c r="G14" s="864">
        <v>709</v>
      </c>
    </row>
    <row r="15" spans="1:7" ht="15.75" customHeight="1">
      <c r="A15" s="29" t="s">
        <v>595</v>
      </c>
      <c r="B15" s="281">
        <v>3168</v>
      </c>
      <c r="C15" s="293">
        <v>18946</v>
      </c>
      <c r="D15" s="281">
        <v>739</v>
      </c>
      <c r="E15" s="293">
        <v>7304</v>
      </c>
      <c r="F15" s="281">
        <v>76</v>
      </c>
      <c r="G15" s="186">
        <v>725</v>
      </c>
    </row>
    <row r="16" spans="1:7" ht="15.75" customHeight="1">
      <c r="A16" s="29" t="s">
        <v>597</v>
      </c>
      <c r="B16" s="281">
        <v>5730</v>
      </c>
      <c r="C16" s="293">
        <v>46970</v>
      </c>
      <c r="D16" s="281">
        <v>717</v>
      </c>
      <c r="E16" s="293">
        <v>6510</v>
      </c>
      <c r="F16" s="281">
        <v>109</v>
      </c>
      <c r="G16" s="186">
        <v>1013</v>
      </c>
    </row>
    <row r="17" spans="1:7" ht="15" customHeight="1">
      <c r="A17" s="29" t="s">
        <v>598</v>
      </c>
      <c r="B17" s="281">
        <v>3373</v>
      </c>
      <c r="C17" s="293">
        <v>26315</v>
      </c>
      <c r="D17" s="281">
        <v>754</v>
      </c>
      <c r="E17" s="293">
        <v>7374</v>
      </c>
      <c r="F17" s="281">
        <v>85</v>
      </c>
      <c r="G17" s="186">
        <v>823</v>
      </c>
    </row>
    <row r="18" spans="1:7" ht="15.75" customHeight="1">
      <c r="A18" s="29" t="s">
        <v>599</v>
      </c>
      <c r="B18" s="281">
        <v>1798</v>
      </c>
      <c r="C18" s="293">
        <v>12587</v>
      </c>
      <c r="D18" s="281">
        <v>531</v>
      </c>
      <c r="E18" s="293">
        <v>5305</v>
      </c>
      <c r="F18" s="281">
        <v>63</v>
      </c>
      <c r="G18" s="186">
        <v>619</v>
      </c>
    </row>
    <row r="19" spans="1:7" ht="15.75" customHeight="1">
      <c r="A19" s="29" t="s">
        <v>771</v>
      </c>
      <c r="B19" s="281">
        <v>3790</v>
      </c>
      <c r="C19" s="293">
        <v>28358</v>
      </c>
      <c r="D19" s="281">
        <v>598</v>
      </c>
      <c r="E19" s="293">
        <v>6100</v>
      </c>
      <c r="F19" s="281">
        <v>111</v>
      </c>
      <c r="G19" s="186">
        <v>1085</v>
      </c>
    </row>
    <row r="20" spans="1:7" ht="15.75" customHeight="1">
      <c r="A20" s="29" t="s">
        <v>600</v>
      </c>
      <c r="B20" s="281">
        <v>3068</v>
      </c>
      <c r="C20" s="293">
        <v>23572</v>
      </c>
      <c r="D20" s="281">
        <v>3031</v>
      </c>
      <c r="E20" s="293">
        <v>29123</v>
      </c>
      <c r="F20" s="281">
        <v>124</v>
      </c>
      <c r="G20" s="186">
        <v>1129</v>
      </c>
    </row>
    <row r="21" spans="1:7" ht="15.75" customHeight="1">
      <c r="A21" s="29" t="s">
        <v>602</v>
      </c>
      <c r="B21" s="281">
        <v>6268</v>
      </c>
      <c r="C21" s="293">
        <v>41274</v>
      </c>
      <c r="D21" s="281">
        <v>1512</v>
      </c>
      <c r="E21" s="293">
        <v>14616</v>
      </c>
      <c r="F21" s="281">
        <v>151</v>
      </c>
      <c r="G21" s="186">
        <v>1435</v>
      </c>
    </row>
    <row r="22" spans="1:7" ht="15.75" customHeight="1">
      <c r="A22" s="73" t="s">
        <v>273</v>
      </c>
      <c r="B22" s="278">
        <f t="shared" ref="B22:G22" si="2">SUM(B23:B30)</f>
        <v>31638</v>
      </c>
      <c r="C22" s="278">
        <f>SUM(C23:C30)</f>
        <v>252110</v>
      </c>
      <c r="D22" s="278">
        <f t="shared" si="2"/>
        <v>6069</v>
      </c>
      <c r="E22" s="859">
        <f t="shared" si="2"/>
        <v>56764</v>
      </c>
      <c r="F22" s="278">
        <f t="shared" si="2"/>
        <v>772</v>
      </c>
      <c r="G22" s="860">
        <f t="shared" si="2"/>
        <v>7308</v>
      </c>
    </row>
    <row r="23" spans="1:7" ht="15.75" customHeight="1">
      <c r="A23" s="29" t="s">
        <v>605</v>
      </c>
      <c r="B23" s="281">
        <v>4493</v>
      </c>
      <c r="C23" s="293">
        <v>36448</v>
      </c>
      <c r="D23" s="281">
        <v>749</v>
      </c>
      <c r="E23" s="293">
        <v>8025</v>
      </c>
      <c r="F23" s="281">
        <v>99</v>
      </c>
      <c r="G23" s="186">
        <v>964</v>
      </c>
    </row>
    <row r="24" spans="1:7" ht="15.75" customHeight="1">
      <c r="A24" s="29" t="s">
        <v>604</v>
      </c>
      <c r="B24" s="281">
        <v>2599</v>
      </c>
      <c r="C24" s="293">
        <v>21366</v>
      </c>
      <c r="D24" s="281">
        <v>1590</v>
      </c>
      <c r="E24" s="293">
        <v>13439</v>
      </c>
      <c r="F24" s="281">
        <v>101</v>
      </c>
      <c r="G24" s="186">
        <v>899</v>
      </c>
    </row>
    <row r="25" spans="1:7" ht="15.75" customHeight="1">
      <c r="A25" s="29" t="s">
        <v>368</v>
      </c>
      <c r="B25" s="281">
        <v>2460</v>
      </c>
      <c r="C25" s="293">
        <v>19809</v>
      </c>
      <c r="D25" s="281">
        <v>464</v>
      </c>
      <c r="E25" s="293">
        <v>4363</v>
      </c>
      <c r="F25" s="281">
        <v>91</v>
      </c>
      <c r="G25" s="186">
        <v>903</v>
      </c>
    </row>
    <row r="26" spans="1:7" ht="15.75" customHeight="1">
      <c r="A26" s="29" t="s">
        <v>606</v>
      </c>
      <c r="B26" s="281">
        <v>3676</v>
      </c>
      <c r="C26" s="293">
        <v>33926</v>
      </c>
      <c r="D26" s="281">
        <v>265</v>
      </c>
      <c r="E26" s="293">
        <v>2678</v>
      </c>
      <c r="F26" s="281">
        <v>71</v>
      </c>
      <c r="G26" s="186">
        <v>686</v>
      </c>
    </row>
    <row r="27" spans="1:7" ht="15.75" customHeight="1">
      <c r="A27" s="29" t="s">
        <v>347</v>
      </c>
      <c r="B27" s="281">
        <v>3079</v>
      </c>
      <c r="C27" s="293">
        <v>21735</v>
      </c>
      <c r="D27" s="281">
        <v>736</v>
      </c>
      <c r="E27" s="293">
        <v>7432</v>
      </c>
      <c r="F27" s="281">
        <v>115</v>
      </c>
      <c r="G27" s="186">
        <v>1065</v>
      </c>
    </row>
    <row r="28" spans="1:7" ht="15.75" customHeight="1">
      <c r="A28" s="29" t="s">
        <v>369</v>
      </c>
      <c r="B28" s="281">
        <v>3963</v>
      </c>
      <c r="C28" s="293">
        <v>30153</v>
      </c>
      <c r="D28" s="281">
        <v>608</v>
      </c>
      <c r="E28" s="293">
        <v>6173</v>
      </c>
      <c r="F28" s="281">
        <v>85</v>
      </c>
      <c r="G28" s="186">
        <v>824</v>
      </c>
    </row>
    <row r="29" spans="1:7" ht="15.75" customHeight="1">
      <c r="A29" s="29" t="s">
        <v>349</v>
      </c>
      <c r="B29" s="281">
        <v>7360</v>
      </c>
      <c r="C29" s="293">
        <v>55942</v>
      </c>
      <c r="D29" s="281">
        <v>1089</v>
      </c>
      <c r="E29" s="293">
        <v>9316</v>
      </c>
      <c r="F29" s="281">
        <v>144</v>
      </c>
      <c r="G29" s="186">
        <v>1366</v>
      </c>
    </row>
    <row r="30" spans="1:7" ht="15.75" customHeight="1">
      <c r="A30" s="29" t="s">
        <v>370</v>
      </c>
      <c r="B30" s="281">
        <v>4008</v>
      </c>
      <c r="C30" s="293">
        <v>32731</v>
      </c>
      <c r="D30" s="281">
        <v>568</v>
      </c>
      <c r="E30" s="293">
        <v>5338</v>
      </c>
      <c r="F30" s="281">
        <v>66</v>
      </c>
      <c r="G30" s="186">
        <v>601</v>
      </c>
    </row>
    <row r="31" spans="1:7" ht="15.75" customHeight="1">
      <c r="A31" s="73" t="s">
        <v>372</v>
      </c>
      <c r="B31" s="278">
        <f t="shared" ref="B31:G31" si="3">SUM(B32:B39)</f>
        <v>18302</v>
      </c>
      <c r="C31" s="859">
        <f t="shared" si="3"/>
        <v>132785</v>
      </c>
      <c r="D31" s="278">
        <f t="shared" si="3"/>
        <v>12503</v>
      </c>
      <c r="E31" s="859">
        <f>SUM(E32:E39)</f>
        <v>115239</v>
      </c>
      <c r="F31" s="278">
        <f t="shared" si="3"/>
        <v>756</v>
      </c>
      <c r="G31" s="860">
        <f t="shared" si="3"/>
        <v>7234</v>
      </c>
    </row>
    <row r="32" spans="1:7" ht="15.75" customHeight="1">
      <c r="A32" s="29" t="s">
        <v>350</v>
      </c>
      <c r="B32" s="281">
        <v>3795</v>
      </c>
      <c r="C32" s="293">
        <v>29153</v>
      </c>
      <c r="D32" s="281">
        <v>1355</v>
      </c>
      <c r="E32" s="293">
        <v>13849</v>
      </c>
      <c r="F32" s="281">
        <v>128</v>
      </c>
      <c r="G32" s="186">
        <v>1261</v>
      </c>
    </row>
    <row r="33" spans="1:7" ht="15.75" customHeight="1">
      <c r="A33" s="29" t="s">
        <v>1376</v>
      </c>
      <c r="B33" s="281">
        <v>103</v>
      </c>
      <c r="C33" s="293">
        <v>980</v>
      </c>
      <c r="D33" s="862">
        <v>35</v>
      </c>
      <c r="E33" s="863">
        <v>331</v>
      </c>
      <c r="F33" s="862">
        <v>32</v>
      </c>
      <c r="G33" s="864">
        <v>302</v>
      </c>
    </row>
    <row r="34" spans="1:7" ht="15.75" customHeight="1">
      <c r="A34" s="29" t="s">
        <v>351</v>
      </c>
      <c r="B34" s="281">
        <v>1944</v>
      </c>
      <c r="C34" s="293">
        <v>20195</v>
      </c>
      <c r="D34" s="281">
        <v>2918</v>
      </c>
      <c r="E34" s="865">
        <v>27390</v>
      </c>
      <c r="F34" s="281">
        <v>121</v>
      </c>
      <c r="G34" s="186">
        <v>1190</v>
      </c>
    </row>
    <row r="35" spans="1:7" ht="15.75" customHeight="1">
      <c r="A35" s="29" t="s">
        <v>352</v>
      </c>
      <c r="B35" s="281">
        <v>2419</v>
      </c>
      <c r="C35" s="293">
        <v>19784</v>
      </c>
      <c r="D35" s="281">
        <v>2444</v>
      </c>
      <c r="E35" s="293">
        <v>25033</v>
      </c>
      <c r="F35" s="281">
        <v>116</v>
      </c>
      <c r="G35" s="186">
        <v>1128</v>
      </c>
    </row>
    <row r="36" spans="1:7" ht="15.75" customHeight="1">
      <c r="A36" s="29" t="s">
        <v>353</v>
      </c>
      <c r="B36" s="281">
        <v>2361</v>
      </c>
      <c r="C36" s="293">
        <v>16672</v>
      </c>
      <c r="D36" s="281">
        <v>2719</v>
      </c>
      <c r="E36" s="293">
        <v>25173</v>
      </c>
      <c r="F36" s="281">
        <v>125</v>
      </c>
      <c r="G36" s="186">
        <v>1193</v>
      </c>
    </row>
    <row r="37" spans="1:7" ht="15.75" customHeight="1">
      <c r="A37" s="29" t="s">
        <v>1377</v>
      </c>
      <c r="B37" s="281">
        <v>54</v>
      </c>
      <c r="C37" s="293">
        <v>512</v>
      </c>
      <c r="D37" s="862">
        <v>45</v>
      </c>
      <c r="E37" s="863">
        <v>274</v>
      </c>
      <c r="F37" s="862">
        <v>24</v>
      </c>
      <c r="G37" s="864">
        <v>227</v>
      </c>
    </row>
    <row r="38" spans="1:7" ht="15.75" customHeight="1">
      <c r="A38" s="29" t="s">
        <v>354</v>
      </c>
      <c r="B38" s="281">
        <v>5680</v>
      </c>
      <c r="C38" s="293">
        <v>31392</v>
      </c>
      <c r="D38" s="281">
        <v>2183</v>
      </c>
      <c r="E38" s="293">
        <v>15690</v>
      </c>
      <c r="F38" s="281">
        <v>125</v>
      </c>
      <c r="G38" s="186">
        <v>1124</v>
      </c>
    </row>
    <row r="39" spans="1:7" ht="15.75" customHeight="1">
      <c r="A39" s="56" t="s">
        <v>355</v>
      </c>
      <c r="B39" s="283">
        <v>1946</v>
      </c>
      <c r="C39" s="552">
        <v>14097</v>
      </c>
      <c r="D39" s="283">
        <v>804</v>
      </c>
      <c r="E39" s="293">
        <v>7499</v>
      </c>
      <c r="F39" s="283">
        <v>85</v>
      </c>
      <c r="G39" s="552">
        <v>809</v>
      </c>
    </row>
    <row r="40" spans="1:7" ht="12.4" customHeight="1">
      <c r="A40" s="1501" t="s">
        <v>238</v>
      </c>
      <c r="B40" s="1501"/>
      <c r="D40" s="525" t="s">
        <v>487</v>
      </c>
      <c r="E40" s="748" t="s">
        <v>239</v>
      </c>
      <c r="F40" s="2"/>
      <c r="G40" s="2"/>
    </row>
    <row r="41" spans="1:7" ht="12.4" customHeight="1">
      <c r="A41" s="1502"/>
      <c r="B41" s="1502"/>
      <c r="D41" s="721" t="s">
        <v>488</v>
      </c>
      <c r="E41" s="749" t="s">
        <v>1458</v>
      </c>
      <c r="F41" s="2"/>
      <c r="G41" s="2"/>
    </row>
    <row r="42" spans="1:7" ht="12.4" customHeight="1">
      <c r="A42" s="1502"/>
      <c r="B42" s="1502"/>
      <c r="D42" s="721" t="s">
        <v>497</v>
      </c>
      <c r="E42" s="749" t="s">
        <v>1457</v>
      </c>
      <c r="F42" s="2"/>
      <c r="G42" s="2"/>
    </row>
    <row r="43" spans="1:7" ht="12.4" customHeight="1">
      <c r="A43" s="1502"/>
      <c r="B43" s="1502"/>
      <c r="D43" s="651"/>
      <c r="E43" s="750" t="s">
        <v>1188</v>
      </c>
      <c r="F43" s="2"/>
      <c r="G43" s="2"/>
    </row>
    <row r="44" spans="1:7" ht="12.4" customHeight="1">
      <c r="A44" s="1502"/>
      <c r="B44" s="1502"/>
      <c r="D44" s="721" t="s">
        <v>498</v>
      </c>
      <c r="E44" s="651" t="s">
        <v>1456</v>
      </c>
      <c r="F44" s="2"/>
      <c r="G44" s="2"/>
    </row>
    <row r="45" spans="1:7" ht="12.4" customHeight="1">
      <c r="A45" s="2"/>
      <c r="B45" s="2"/>
      <c r="C45" s="2"/>
      <c r="D45" s="744" t="s">
        <v>1455</v>
      </c>
      <c r="E45" s="651" t="s">
        <v>240</v>
      </c>
    </row>
    <row r="46" spans="1:7" s="170" customFormat="1" ht="12.4" customHeight="1"/>
  </sheetData>
  <mergeCells count="8">
    <mergeCell ref="A1:G1"/>
    <mergeCell ref="B11:G11"/>
    <mergeCell ref="A2:G2"/>
    <mergeCell ref="A40:B44"/>
    <mergeCell ref="B3:C3"/>
    <mergeCell ref="D3:E3"/>
    <mergeCell ref="F3:G3"/>
    <mergeCell ref="A3:A4"/>
  </mergeCells>
  <phoneticPr fontId="0" type="noConversion"/>
  <printOptions horizontalCentered="1"/>
  <pageMargins left="0.15" right="0.1" top="0.63" bottom="0.1" header="0.14000000000000001" footer="0.1"/>
  <pageSetup paperSize="9" orientation="portrait" r:id="rId1"/>
  <headerFooter alignWithMargins="0"/>
</worksheet>
</file>

<file path=xl/worksheets/sheet65.xml><?xml version="1.0" encoding="utf-8"?>
<worksheet xmlns="http://schemas.openxmlformats.org/spreadsheetml/2006/main" xmlns:r="http://schemas.openxmlformats.org/officeDocument/2006/relationships">
  <sheetPr codeName="Sheet77"/>
  <dimension ref="B1:CD188"/>
  <sheetViews>
    <sheetView topLeftCell="A160" workbookViewId="0">
      <selection activeCell="M30" sqref="M30"/>
    </sheetView>
  </sheetViews>
  <sheetFormatPr defaultRowHeight="12.75"/>
  <cols>
    <col min="1" max="1" width="2.42578125" style="172" customWidth="1"/>
    <col min="2" max="2" width="21.140625" style="172" customWidth="1"/>
    <col min="3" max="3" width="18" style="172" customWidth="1"/>
    <col min="4" max="4" width="13.85546875" style="172" customWidth="1"/>
    <col min="5" max="5" width="11" style="170" customWidth="1"/>
    <col min="6" max="6" width="11.140625" style="170" customWidth="1"/>
    <col min="7" max="7" width="13" style="170" customWidth="1"/>
    <col min="8" max="16384" width="9.140625" style="172"/>
  </cols>
  <sheetData>
    <row r="1" spans="2:82" ht="17.25" customHeight="1">
      <c r="B1" s="1181" t="s">
        <v>1564</v>
      </c>
      <c r="C1" s="1181"/>
      <c r="D1" s="1181"/>
      <c r="E1" s="1181"/>
      <c r="F1" s="1181"/>
    </row>
    <row r="2" spans="2:82" s="206" customFormat="1" ht="36.75" customHeight="1">
      <c r="B2" s="1427" t="str">
        <f>CONCATENATE("Wholesale Prices of Agricultural Commodities, Live-stock and Live-stock Products (average quality) in different markets in the district of ",District!$A$1)</f>
        <v>Wholesale Prices of Agricultural Commodities, Live-stock and Live-stock Products (average quality) in different markets in the district of Bankura</v>
      </c>
      <c r="C2" s="1427"/>
      <c r="D2" s="1427"/>
      <c r="E2" s="1427"/>
      <c r="F2" s="1427"/>
      <c r="G2" s="1427"/>
    </row>
    <row r="3" spans="2:82" ht="17.25" customHeight="1">
      <c r="B3" s="1196" t="s">
        <v>1358</v>
      </c>
      <c r="C3" s="1196" t="s">
        <v>1359</v>
      </c>
      <c r="D3" s="1196" t="s">
        <v>305</v>
      </c>
      <c r="E3" s="1193" t="s">
        <v>840</v>
      </c>
      <c r="F3" s="1506"/>
      <c r="G3" s="1507"/>
    </row>
    <row r="4" spans="2:82" ht="17.25" customHeight="1">
      <c r="B4" s="1197"/>
      <c r="C4" s="1197"/>
      <c r="D4" s="1197"/>
      <c r="E4" s="445">
        <f>District!D10</f>
        <v>2012</v>
      </c>
      <c r="F4" s="412">
        <f>District!E10</f>
        <v>2013</v>
      </c>
      <c r="G4" s="412">
        <f>District!F10</f>
        <v>2014</v>
      </c>
    </row>
    <row r="5" spans="2:82" ht="17.25" customHeight="1">
      <c r="B5" s="213" t="s">
        <v>418</v>
      </c>
      <c r="C5" s="213" t="s">
        <v>419</v>
      </c>
      <c r="D5" s="213" t="s">
        <v>420</v>
      </c>
      <c r="E5" s="222" t="s">
        <v>421</v>
      </c>
      <c r="F5" s="181" t="s">
        <v>422</v>
      </c>
      <c r="G5" s="182" t="s">
        <v>423</v>
      </c>
    </row>
    <row r="6" spans="2:82" ht="18" customHeight="1">
      <c r="B6" s="74" t="s">
        <v>1145</v>
      </c>
      <c r="C6" s="74" t="s">
        <v>1188</v>
      </c>
      <c r="D6" s="33" t="s">
        <v>1146</v>
      </c>
      <c r="E6" s="641">
        <v>1045</v>
      </c>
      <c r="F6" s="641">
        <v>1227.5</v>
      </c>
      <c r="G6" s="641">
        <v>1520</v>
      </c>
      <c r="AB6" s="564"/>
      <c r="AH6" s="564"/>
      <c r="BX6" s="564"/>
      <c r="CD6" s="564"/>
    </row>
    <row r="7" spans="2:82" ht="18" customHeight="1">
      <c r="B7" s="74"/>
      <c r="C7" s="74" t="s">
        <v>1147</v>
      </c>
      <c r="D7" s="33" t="s">
        <v>323</v>
      </c>
      <c r="E7" s="281">
        <v>1030</v>
      </c>
      <c r="F7" s="281">
        <v>1225</v>
      </c>
      <c r="G7" s="281">
        <v>1505</v>
      </c>
    </row>
    <row r="8" spans="2:82" ht="18" customHeight="1">
      <c r="B8" s="74"/>
      <c r="C8" s="74" t="s">
        <v>604</v>
      </c>
      <c r="D8" s="33" t="s">
        <v>323</v>
      </c>
      <c r="E8" s="560">
        <v>1020</v>
      </c>
      <c r="F8" s="560" t="s">
        <v>906</v>
      </c>
      <c r="G8" s="560" t="s">
        <v>906</v>
      </c>
    </row>
    <row r="9" spans="2:82" ht="18" customHeight="1">
      <c r="B9" s="74"/>
      <c r="C9" s="74" t="s">
        <v>350</v>
      </c>
      <c r="D9" s="33" t="s">
        <v>323</v>
      </c>
      <c r="E9" s="281">
        <v>1045</v>
      </c>
      <c r="F9" s="281">
        <v>1227.5</v>
      </c>
      <c r="G9" s="281">
        <v>1525</v>
      </c>
      <c r="I9" s="776"/>
    </row>
    <row r="10" spans="2:82" ht="18" customHeight="1">
      <c r="B10" s="74"/>
      <c r="C10" s="74" t="s">
        <v>352</v>
      </c>
      <c r="D10" s="33" t="s">
        <v>323</v>
      </c>
      <c r="E10" s="281">
        <v>1050</v>
      </c>
      <c r="F10" s="281">
        <v>1240.5</v>
      </c>
      <c r="G10" s="281">
        <v>1520</v>
      </c>
      <c r="I10" s="776"/>
    </row>
    <row r="11" spans="2:82" ht="18" customHeight="1">
      <c r="B11" s="74"/>
      <c r="C11" s="74" t="s">
        <v>355</v>
      </c>
      <c r="D11" s="33" t="s">
        <v>323</v>
      </c>
      <c r="E11" s="281">
        <v>1042</v>
      </c>
      <c r="F11" s="281">
        <v>1235</v>
      </c>
      <c r="G11" s="281">
        <v>1520</v>
      </c>
      <c r="I11" s="148"/>
    </row>
    <row r="12" spans="2:82" ht="18" customHeight="1">
      <c r="B12" s="74" t="s">
        <v>1148</v>
      </c>
      <c r="C12" s="74" t="s">
        <v>1188</v>
      </c>
      <c r="D12" s="33" t="s">
        <v>323</v>
      </c>
      <c r="E12" s="281">
        <v>925</v>
      </c>
      <c r="F12" s="281">
        <v>1082.5</v>
      </c>
      <c r="G12" s="281">
        <v>1347</v>
      </c>
      <c r="I12" s="776"/>
    </row>
    <row r="13" spans="2:82" ht="18" customHeight="1">
      <c r="B13" s="74"/>
      <c r="C13" s="74" t="s">
        <v>1147</v>
      </c>
      <c r="D13" s="33" t="s">
        <v>323</v>
      </c>
      <c r="E13" s="560">
        <v>900</v>
      </c>
      <c r="F13" s="560">
        <v>1077.5</v>
      </c>
      <c r="G13" s="560">
        <v>1330</v>
      </c>
      <c r="I13" s="776"/>
    </row>
    <row r="14" spans="2:82" ht="18" customHeight="1">
      <c r="B14" s="74"/>
      <c r="C14" s="74" t="s">
        <v>604</v>
      </c>
      <c r="D14" s="33" t="s">
        <v>323</v>
      </c>
      <c r="E14" s="560">
        <v>910</v>
      </c>
      <c r="F14" s="560" t="s">
        <v>906</v>
      </c>
      <c r="G14" s="560">
        <v>1400</v>
      </c>
      <c r="I14" s="776"/>
    </row>
    <row r="15" spans="2:82" ht="18" customHeight="1">
      <c r="B15" s="74"/>
      <c r="C15" s="74" t="s">
        <v>350</v>
      </c>
      <c r="D15" s="33" t="s">
        <v>323</v>
      </c>
      <c r="E15" s="281">
        <v>920</v>
      </c>
      <c r="F15" s="281">
        <v>1100</v>
      </c>
      <c r="G15" s="281">
        <v>1325</v>
      </c>
      <c r="I15" s="776"/>
    </row>
    <row r="16" spans="2:82" ht="18" customHeight="1">
      <c r="B16" s="74"/>
      <c r="C16" s="74" t="s">
        <v>352</v>
      </c>
      <c r="D16" s="33" t="s">
        <v>323</v>
      </c>
      <c r="E16" s="281">
        <v>914</v>
      </c>
      <c r="F16" s="281">
        <v>1105</v>
      </c>
      <c r="G16" s="281">
        <v>1335</v>
      </c>
      <c r="I16" s="777"/>
    </row>
    <row r="17" spans="2:9" ht="18" customHeight="1">
      <c r="B17" s="74"/>
      <c r="C17" s="74" t="s">
        <v>355</v>
      </c>
      <c r="D17" s="33" t="s">
        <v>323</v>
      </c>
      <c r="E17" s="281">
        <v>922</v>
      </c>
      <c r="F17" s="281">
        <v>1095</v>
      </c>
      <c r="G17" s="281">
        <v>1337</v>
      </c>
      <c r="I17" s="148"/>
    </row>
    <row r="18" spans="2:9" ht="18" customHeight="1">
      <c r="B18" s="74" t="s">
        <v>1611</v>
      </c>
      <c r="C18" s="74" t="s">
        <v>1188</v>
      </c>
      <c r="D18" s="33" t="s">
        <v>323</v>
      </c>
      <c r="E18" s="281">
        <v>1935</v>
      </c>
      <c r="F18" s="281">
        <v>2077.5</v>
      </c>
      <c r="G18" s="281">
        <v>2490</v>
      </c>
      <c r="I18" s="776"/>
    </row>
    <row r="19" spans="2:9" ht="18" customHeight="1">
      <c r="B19" s="74"/>
      <c r="C19" s="74" t="s">
        <v>1147</v>
      </c>
      <c r="D19" s="33" t="s">
        <v>323</v>
      </c>
      <c r="E19" s="281">
        <v>1920</v>
      </c>
      <c r="F19" s="281">
        <v>2091</v>
      </c>
      <c r="G19" s="281">
        <v>2474</v>
      </c>
      <c r="I19" s="776"/>
    </row>
    <row r="20" spans="2:9" ht="18" customHeight="1">
      <c r="B20" s="74"/>
      <c r="C20" s="74" t="s">
        <v>604</v>
      </c>
      <c r="D20" s="33" t="s">
        <v>323</v>
      </c>
      <c r="E20" s="560">
        <v>1900</v>
      </c>
      <c r="F20" s="560" t="s">
        <v>906</v>
      </c>
      <c r="G20" s="560">
        <v>2479</v>
      </c>
      <c r="I20" s="776"/>
    </row>
    <row r="21" spans="2:9" ht="18" customHeight="1">
      <c r="B21" s="74"/>
      <c r="C21" s="74" t="s">
        <v>350</v>
      </c>
      <c r="D21" s="33" t="s">
        <v>323</v>
      </c>
      <c r="E21" s="281">
        <v>1975</v>
      </c>
      <c r="F21" s="281">
        <v>2175</v>
      </c>
      <c r="G21" s="281">
        <v>2555</v>
      </c>
      <c r="I21" s="776"/>
    </row>
    <row r="22" spans="2:9" ht="18" customHeight="1">
      <c r="B22" s="74"/>
      <c r="C22" s="74" t="s">
        <v>352</v>
      </c>
      <c r="D22" s="33" t="s">
        <v>323</v>
      </c>
      <c r="E22" s="281">
        <v>1972</v>
      </c>
      <c r="F22" s="281">
        <v>2275</v>
      </c>
      <c r="G22" s="281">
        <v>2558</v>
      </c>
      <c r="I22" s="776"/>
    </row>
    <row r="23" spans="2:9" ht="18" customHeight="1">
      <c r="B23" s="74"/>
      <c r="C23" s="74" t="s">
        <v>355</v>
      </c>
      <c r="D23" s="33" t="s">
        <v>323</v>
      </c>
      <c r="E23" s="560">
        <v>1970</v>
      </c>
      <c r="F23" s="560">
        <v>2150</v>
      </c>
      <c r="G23" s="560">
        <v>2555</v>
      </c>
      <c r="I23" s="148"/>
    </row>
    <row r="24" spans="2:9" ht="18" customHeight="1">
      <c r="B24" s="74" t="s">
        <v>1149</v>
      </c>
      <c r="C24" s="74" t="s">
        <v>1188</v>
      </c>
      <c r="D24" s="33" t="s">
        <v>323</v>
      </c>
      <c r="E24" s="281">
        <v>1630</v>
      </c>
      <c r="F24" s="281">
        <v>1838.5</v>
      </c>
      <c r="G24" s="281">
        <v>2290</v>
      </c>
      <c r="I24" s="776"/>
    </row>
    <row r="25" spans="2:9" ht="18" customHeight="1">
      <c r="B25" s="74"/>
      <c r="C25" s="74" t="s">
        <v>1147</v>
      </c>
      <c r="D25" s="33" t="s">
        <v>323</v>
      </c>
      <c r="E25" s="281">
        <v>1610</v>
      </c>
      <c r="F25" s="281">
        <v>1871</v>
      </c>
      <c r="G25" s="281">
        <v>2167</v>
      </c>
      <c r="I25" s="776"/>
    </row>
    <row r="26" spans="2:9" ht="18" customHeight="1">
      <c r="B26" s="74"/>
      <c r="C26" s="74" t="s">
        <v>604</v>
      </c>
      <c r="D26" s="33" t="s">
        <v>323</v>
      </c>
      <c r="E26" s="560">
        <v>1620</v>
      </c>
      <c r="F26" s="560" t="s">
        <v>906</v>
      </c>
      <c r="G26" s="560" t="s">
        <v>906</v>
      </c>
      <c r="I26" s="776"/>
    </row>
    <row r="27" spans="2:9" ht="18" customHeight="1">
      <c r="B27" s="74"/>
      <c r="C27" s="74" t="s">
        <v>350</v>
      </c>
      <c r="D27" s="33" t="s">
        <v>323</v>
      </c>
      <c r="E27" s="281">
        <v>1640</v>
      </c>
      <c r="F27" s="281">
        <v>1875</v>
      </c>
      <c r="G27" s="281">
        <v>2268</v>
      </c>
      <c r="I27" s="776"/>
    </row>
    <row r="28" spans="2:9" ht="18" customHeight="1">
      <c r="B28" s="74"/>
      <c r="C28" s="74" t="s">
        <v>352</v>
      </c>
      <c r="D28" s="33" t="s">
        <v>323</v>
      </c>
      <c r="E28" s="281">
        <v>1625</v>
      </c>
      <c r="F28" s="281">
        <v>1872.5</v>
      </c>
      <c r="G28" s="281">
        <v>2287</v>
      </c>
      <c r="I28" s="776"/>
    </row>
    <row r="29" spans="2:9" ht="18" customHeight="1">
      <c r="B29" s="74"/>
      <c r="C29" s="74" t="s">
        <v>355</v>
      </c>
      <c r="D29" s="33" t="s">
        <v>323</v>
      </c>
      <c r="E29" s="281">
        <v>1621</v>
      </c>
      <c r="F29" s="281">
        <v>1875</v>
      </c>
      <c r="G29" s="281">
        <v>2300</v>
      </c>
      <c r="I29" s="148"/>
    </row>
    <row r="30" spans="2:9" ht="18" customHeight="1">
      <c r="B30" s="1505" t="s">
        <v>956</v>
      </c>
      <c r="C30" s="74" t="s">
        <v>1188</v>
      </c>
      <c r="D30" s="33" t="s">
        <v>323</v>
      </c>
      <c r="E30" s="281">
        <v>1200</v>
      </c>
      <c r="F30" s="281">
        <v>1577.5</v>
      </c>
      <c r="G30" s="281">
        <v>1663</v>
      </c>
      <c r="I30" s="776"/>
    </row>
    <row r="31" spans="2:9" ht="18" customHeight="1">
      <c r="B31" s="1505"/>
      <c r="C31" s="74" t="s">
        <v>350</v>
      </c>
      <c r="D31" s="33" t="s">
        <v>323</v>
      </c>
      <c r="E31" s="281">
        <v>1250</v>
      </c>
      <c r="F31" s="281">
        <v>1555</v>
      </c>
      <c r="G31" s="281">
        <v>1674</v>
      </c>
      <c r="I31" s="776"/>
    </row>
    <row r="32" spans="2:9" ht="18" customHeight="1">
      <c r="B32" s="74" t="s">
        <v>181</v>
      </c>
      <c r="C32" s="74" t="s">
        <v>1188</v>
      </c>
      <c r="D32" s="33" t="s">
        <v>323</v>
      </c>
      <c r="E32" s="281">
        <v>5200</v>
      </c>
      <c r="F32" s="281">
        <v>7500</v>
      </c>
      <c r="G32" s="281">
        <v>8000</v>
      </c>
      <c r="I32" s="776"/>
    </row>
    <row r="33" spans="2:14" ht="18" customHeight="1">
      <c r="B33" s="74"/>
      <c r="C33" s="74" t="s">
        <v>350</v>
      </c>
      <c r="D33" s="33" t="s">
        <v>323</v>
      </c>
      <c r="E33" s="281">
        <v>5325</v>
      </c>
      <c r="F33" s="281">
        <v>7575</v>
      </c>
      <c r="G33" s="281">
        <v>7750</v>
      </c>
      <c r="I33" s="148"/>
    </row>
    <row r="34" spans="2:14" ht="18" customHeight="1">
      <c r="B34" s="74" t="s">
        <v>180</v>
      </c>
      <c r="C34" s="74" t="s">
        <v>1188</v>
      </c>
      <c r="D34" s="33" t="s">
        <v>323</v>
      </c>
      <c r="E34" s="281">
        <v>3850</v>
      </c>
      <c r="F34" s="281">
        <v>4150</v>
      </c>
      <c r="G34" s="281">
        <v>4300</v>
      </c>
      <c r="I34" s="776"/>
    </row>
    <row r="35" spans="2:14" ht="18" customHeight="1">
      <c r="B35" s="74"/>
      <c r="C35" s="74" t="s">
        <v>350</v>
      </c>
      <c r="D35" s="33" t="s">
        <v>323</v>
      </c>
      <c r="E35" s="281">
        <v>4100</v>
      </c>
      <c r="F35" s="281">
        <v>4450</v>
      </c>
      <c r="G35" s="560" t="s">
        <v>906</v>
      </c>
      <c r="I35" s="776"/>
    </row>
    <row r="36" spans="2:14" ht="18" customHeight="1">
      <c r="B36" s="74" t="s">
        <v>988</v>
      </c>
      <c r="C36" s="74" t="s">
        <v>1188</v>
      </c>
      <c r="D36" s="33" t="s">
        <v>323</v>
      </c>
      <c r="E36" s="281">
        <v>5860</v>
      </c>
      <c r="F36" s="281">
        <v>6800</v>
      </c>
      <c r="G36" s="281">
        <v>6850</v>
      </c>
      <c r="I36" s="776"/>
    </row>
    <row r="37" spans="2:14" ht="18" customHeight="1">
      <c r="B37" s="74"/>
      <c r="C37" s="74" t="s">
        <v>350</v>
      </c>
      <c r="D37" s="33" t="s">
        <v>323</v>
      </c>
      <c r="E37" s="281">
        <v>6400</v>
      </c>
      <c r="F37" s="281">
        <v>6700</v>
      </c>
      <c r="G37" s="281">
        <v>6750</v>
      </c>
      <c r="I37" s="776"/>
    </row>
    <row r="38" spans="2:14" ht="18" customHeight="1">
      <c r="B38" s="74" t="s">
        <v>241</v>
      </c>
      <c r="C38" s="74" t="s">
        <v>1188</v>
      </c>
      <c r="D38" s="33" t="s">
        <v>323</v>
      </c>
      <c r="E38" s="281">
        <v>5000</v>
      </c>
      <c r="F38" s="281">
        <v>5175</v>
      </c>
      <c r="G38" s="281">
        <v>6150</v>
      </c>
      <c r="I38" s="776"/>
    </row>
    <row r="39" spans="2:14" ht="18" customHeight="1">
      <c r="B39" s="74"/>
      <c r="C39" s="197" t="s">
        <v>350</v>
      </c>
      <c r="D39" s="39" t="s">
        <v>323</v>
      </c>
      <c r="E39" s="281">
        <v>5260</v>
      </c>
      <c r="F39" s="281" t="s">
        <v>906</v>
      </c>
      <c r="G39" s="560" t="s">
        <v>906</v>
      </c>
      <c r="I39" s="148"/>
    </row>
    <row r="40" spans="2:14" ht="18" customHeight="1">
      <c r="B40" s="74" t="s">
        <v>982</v>
      </c>
      <c r="C40" s="74" t="s">
        <v>1188</v>
      </c>
      <c r="D40" s="33" t="s">
        <v>323</v>
      </c>
      <c r="E40" s="281">
        <v>8700</v>
      </c>
      <c r="F40" s="281">
        <v>8700</v>
      </c>
      <c r="G40" s="281">
        <v>10000</v>
      </c>
      <c r="I40" s="148"/>
      <c r="J40" s="190"/>
      <c r="K40" s="24"/>
      <c r="L40" s="590"/>
      <c r="M40" s="591"/>
      <c r="N40" s="591"/>
    </row>
    <row r="41" spans="2:14" ht="18" customHeight="1">
      <c r="B41" s="75"/>
      <c r="C41" s="75" t="s">
        <v>350</v>
      </c>
      <c r="D41" s="41" t="s">
        <v>323</v>
      </c>
      <c r="E41" s="283">
        <v>8650</v>
      </c>
      <c r="F41" s="283">
        <v>8900</v>
      </c>
      <c r="G41" s="283">
        <v>10000</v>
      </c>
      <c r="I41" s="776"/>
      <c r="J41" s="190"/>
      <c r="K41" s="24"/>
      <c r="L41" s="590"/>
      <c r="M41" s="591"/>
      <c r="N41" s="591"/>
    </row>
    <row r="42" spans="2:14" ht="15" customHeight="1">
      <c r="B42" s="190"/>
      <c r="C42" s="190"/>
      <c r="D42" s="24"/>
      <c r="E42" s="789"/>
      <c r="F42" s="302"/>
      <c r="G42" s="790" t="s">
        <v>480</v>
      </c>
      <c r="I42" s="776"/>
      <c r="J42" s="190"/>
      <c r="K42" s="24"/>
      <c r="L42" s="590"/>
      <c r="M42" s="591"/>
      <c r="N42" s="591"/>
    </row>
    <row r="43" spans="2:14" ht="14.25" customHeight="1">
      <c r="B43" s="1508" t="s">
        <v>518</v>
      </c>
      <c r="C43" s="1508"/>
      <c r="D43" s="1508"/>
      <c r="E43" s="1508"/>
      <c r="F43" s="1508"/>
      <c r="G43" s="1508"/>
      <c r="I43" s="776"/>
    </row>
    <row r="44" spans="2:14" ht="17.25" customHeight="1">
      <c r="B44" s="1196" t="s">
        <v>1358</v>
      </c>
      <c r="C44" s="1196" t="s">
        <v>1359</v>
      </c>
      <c r="D44" s="1196" t="s">
        <v>305</v>
      </c>
      <c r="E44" s="1193" t="s">
        <v>840</v>
      </c>
      <c r="F44" s="1506"/>
      <c r="G44" s="1507"/>
      <c r="I44" s="776"/>
    </row>
    <row r="45" spans="2:14" ht="17.25" customHeight="1">
      <c r="B45" s="1197"/>
      <c r="C45" s="1197"/>
      <c r="D45" s="1197"/>
      <c r="E45" s="445">
        <f>District!D10</f>
        <v>2012</v>
      </c>
      <c r="F45" s="412">
        <f>District!E10</f>
        <v>2013</v>
      </c>
      <c r="G45" s="412">
        <f>District!F10</f>
        <v>2014</v>
      </c>
    </row>
    <row r="46" spans="2:14" ht="17.25" customHeight="1">
      <c r="B46" s="213" t="s">
        <v>418</v>
      </c>
      <c r="C46" s="213" t="s">
        <v>419</v>
      </c>
      <c r="D46" s="213" t="s">
        <v>420</v>
      </c>
      <c r="E46" s="222" t="s">
        <v>421</v>
      </c>
      <c r="F46" s="181" t="s">
        <v>422</v>
      </c>
      <c r="G46" s="182" t="s">
        <v>423</v>
      </c>
    </row>
    <row r="47" spans="2:14" ht="18" customHeight="1">
      <c r="B47" s="74" t="s">
        <v>985</v>
      </c>
      <c r="C47" s="74" t="s">
        <v>1188</v>
      </c>
      <c r="D47" s="33" t="s">
        <v>1146</v>
      </c>
      <c r="E47" s="281">
        <v>3800</v>
      </c>
      <c r="F47" s="281">
        <v>4850</v>
      </c>
      <c r="G47" s="281">
        <v>3700</v>
      </c>
      <c r="I47" s="776"/>
      <c r="J47" s="190"/>
      <c r="K47" s="24"/>
      <c r="L47" s="590"/>
      <c r="M47" s="591"/>
      <c r="N47" s="591"/>
    </row>
    <row r="48" spans="2:14" ht="18" customHeight="1">
      <c r="B48" s="74"/>
      <c r="C48" s="74" t="s">
        <v>350</v>
      </c>
      <c r="D48" s="33" t="s">
        <v>323</v>
      </c>
      <c r="E48" s="281">
        <v>4100</v>
      </c>
      <c r="F48" s="281">
        <v>5225</v>
      </c>
      <c r="G48" s="281">
        <v>3650</v>
      </c>
      <c r="I48" s="776"/>
      <c r="J48" s="190"/>
      <c r="K48" s="24"/>
      <c r="L48" s="590"/>
      <c r="M48" s="591"/>
      <c r="N48" s="591"/>
    </row>
    <row r="49" spans="2:14" ht="18" customHeight="1">
      <c r="B49" s="74" t="s">
        <v>986</v>
      </c>
      <c r="C49" s="197" t="s">
        <v>1188</v>
      </c>
      <c r="D49" s="39" t="s">
        <v>323</v>
      </c>
      <c r="E49" s="186">
        <v>5060</v>
      </c>
      <c r="F49" s="186">
        <v>5950</v>
      </c>
      <c r="G49" s="186">
        <v>4300</v>
      </c>
      <c r="I49" s="190"/>
      <c r="J49" s="190"/>
      <c r="K49" s="24"/>
      <c r="L49" s="590"/>
      <c r="M49" s="591"/>
      <c r="N49" s="591"/>
    </row>
    <row r="50" spans="2:14" ht="18" customHeight="1">
      <c r="B50" s="74"/>
      <c r="C50" s="74" t="s">
        <v>350</v>
      </c>
      <c r="D50" s="33" t="s">
        <v>323</v>
      </c>
      <c r="E50" s="281">
        <v>5050</v>
      </c>
      <c r="F50" s="281">
        <v>6100</v>
      </c>
      <c r="G50" s="281">
        <v>4500</v>
      </c>
      <c r="I50" s="190"/>
      <c r="J50" s="190"/>
      <c r="K50" s="24"/>
      <c r="L50" s="590"/>
      <c r="M50" s="591"/>
      <c r="N50" s="591"/>
    </row>
    <row r="51" spans="2:14" ht="18" customHeight="1">
      <c r="B51" s="74" t="s">
        <v>1021</v>
      </c>
      <c r="C51" s="197" t="s">
        <v>1188</v>
      </c>
      <c r="D51" s="39" t="s">
        <v>323</v>
      </c>
      <c r="E51" s="186">
        <v>413</v>
      </c>
      <c r="F51" s="186">
        <v>425</v>
      </c>
      <c r="G51" s="186">
        <v>627</v>
      </c>
    </row>
    <row r="52" spans="2:14" ht="18" customHeight="1">
      <c r="B52" s="74"/>
      <c r="C52" s="74" t="s">
        <v>1147</v>
      </c>
      <c r="D52" s="33" t="s">
        <v>323</v>
      </c>
      <c r="E52" s="281">
        <v>420</v>
      </c>
      <c r="F52" s="281">
        <v>560</v>
      </c>
      <c r="G52" s="281">
        <v>650</v>
      </c>
    </row>
    <row r="53" spans="2:14" ht="18" customHeight="1">
      <c r="B53" s="74"/>
      <c r="C53" s="74" t="s">
        <v>604</v>
      </c>
      <c r="D53" s="33" t="s">
        <v>323</v>
      </c>
      <c r="E53" s="560">
        <v>425</v>
      </c>
      <c r="F53" s="560" t="s">
        <v>906</v>
      </c>
      <c r="G53" s="560">
        <v>601</v>
      </c>
    </row>
    <row r="54" spans="2:14" ht="18" customHeight="1">
      <c r="B54" s="74"/>
      <c r="C54" s="74" t="s">
        <v>350</v>
      </c>
      <c r="D54" s="33" t="s">
        <v>323</v>
      </c>
      <c r="E54" s="281">
        <v>417</v>
      </c>
      <c r="F54" s="281">
        <v>562.5</v>
      </c>
      <c r="G54" s="281">
        <v>632</v>
      </c>
    </row>
    <row r="55" spans="2:14" ht="18" customHeight="1">
      <c r="B55" s="74"/>
      <c r="C55" s="74" t="s">
        <v>352</v>
      </c>
      <c r="D55" s="33" t="s">
        <v>323</v>
      </c>
      <c r="E55" s="281">
        <v>410</v>
      </c>
      <c r="F55" s="281">
        <v>555</v>
      </c>
      <c r="G55" s="281">
        <v>607</v>
      </c>
    </row>
    <row r="56" spans="2:14" ht="18" customHeight="1">
      <c r="B56" s="74"/>
      <c r="C56" s="74" t="s">
        <v>355</v>
      </c>
      <c r="D56" s="33" t="s">
        <v>323</v>
      </c>
      <c r="E56" s="281">
        <v>420</v>
      </c>
      <c r="F56" s="281">
        <v>552.5</v>
      </c>
      <c r="G56" s="281">
        <v>615</v>
      </c>
    </row>
    <row r="57" spans="2:14" ht="18" customHeight="1">
      <c r="B57" s="74" t="s">
        <v>1058</v>
      </c>
      <c r="C57" s="74" t="s">
        <v>1188</v>
      </c>
      <c r="D57" s="33" t="s">
        <v>323</v>
      </c>
      <c r="E57" s="281">
        <v>1300</v>
      </c>
      <c r="F57" s="281">
        <v>1000</v>
      </c>
      <c r="G57" s="281">
        <v>1825</v>
      </c>
    </row>
    <row r="58" spans="2:14" ht="18" customHeight="1">
      <c r="B58" s="74"/>
      <c r="C58" s="74" t="s">
        <v>1147</v>
      </c>
      <c r="D58" s="33" t="s">
        <v>323</v>
      </c>
      <c r="E58" s="281">
        <v>1250</v>
      </c>
      <c r="F58" s="281">
        <v>900</v>
      </c>
      <c r="G58" s="281">
        <v>1350</v>
      </c>
    </row>
    <row r="59" spans="2:14" ht="18" customHeight="1">
      <c r="B59" s="74"/>
      <c r="C59" s="74" t="s">
        <v>604</v>
      </c>
      <c r="D59" s="33" t="s">
        <v>323</v>
      </c>
      <c r="E59" s="560">
        <v>1150</v>
      </c>
      <c r="F59" s="560" t="s">
        <v>906</v>
      </c>
      <c r="G59" s="560" t="s">
        <v>906</v>
      </c>
    </row>
    <row r="60" spans="2:14" ht="18" customHeight="1">
      <c r="B60" s="74"/>
      <c r="C60" s="74" t="s">
        <v>350</v>
      </c>
      <c r="D60" s="33" t="s">
        <v>323</v>
      </c>
      <c r="E60" s="281">
        <v>1125</v>
      </c>
      <c r="F60" s="281">
        <v>950</v>
      </c>
      <c r="G60" s="281">
        <v>1550</v>
      </c>
    </row>
    <row r="61" spans="2:14" ht="18" customHeight="1">
      <c r="B61" s="74"/>
      <c r="C61" s="74" t="s">
        <v>352</v>
      </c>
      <c r="D61" s="33" t="s">
        <v>323</v>
      </c>
      <c r="E61" s="281">
        <v>1075</v>
      </c>
      <c r="F61" s="281">
        <v>925</v>
      </c>
      <c r="G61" s="281">
        <v>1450</v>
      </c>
    </row>
    <row r="62" spans="2:14" ht="18" customHeight="1">
      <c r="B62" s="74"/>
      <c r="C62" s="74" t="s">
        <v>355</v>
      </c>
      <c r="D62" s="33" t="s">
        <v>323</v>
      </c>
      <c r="E62" s="281">
        <v>1060</v>
      </c>
      <c r="F62" s="281">
        <v>925</v>
      </c>
      <c r="G62" s="281">
        <v>1250</v>
      </c>
    </row>
    <row r="63" spans="2:14" ht="18" customHeight="1">
      <c r="B63" s="74" t="s">
        <v>1053</v>
      </c>
      <c r="C63" s="74" t="s">
        <v>1188</v>
      </c>
      <c r="D63" s="33" t="s">
        <v>323</v>
      </c>
      <c r="E63" s="281">
        <v>168</v>
      </c>
      <c r="F63" s="281">
        <v>375</v>
      </c>
      <c r="G63" s="281">
        <v>225</v>
      </c>
    </row>
    <row r="64" spans="2:14" ht="18" customHeight="1">
      <c r="B64" s="76"/>
      <c r="C64" s="76" t="s">
        <v>1147</v>
      </c>
      <c r="D64" s="29" t="s">
        <v>323</v>
      </c>
      <c r="E64" s="281">
        <v>200</v>
      </c>
      <c r="F64" s="281">
        <v>412.5</v>
      </c>
      <c r="G64" s="281">
        <v>175</v>
      </c>
    </row>
    <row r="65" spans="2:12" ht="18" customHeight="1">
      <c r="B65" s="74"/>
      <c r="C65" s="74" t="s">
        <v>604</v>
      </c>
      <c r="D65" s="33" t="s">
        <v>323</v>
      </c>
      <c r="E65" s="560">
        <v>175</v>
      </c>
      <c r="F65" s="560" t="s">
        <v>906</v>
      </c>
      <c r="G65" s="560" t="s">
        <v>906</v>
      </c>
    </row>
    <row r="66" spans="2:12" ht="18" customHeight="1">
      <c r="B66" s="74"/>
      <c r="C66" s="74" t="s">
        <v>350</v>
      </c>
      <c r="D66" s="33" t="s">
        <v>323</v>
      </c>
      <c r="E66" s="281">
        <v>213</v>
      </c>
      <c r="F66" s="281">
        <v>362.5</v>
      </c>
      <c r="G66" s="281">
        <v>350</v>
      </c>
    </row>
    <row r="67" spans="2:12" ht="18" customHeight="1">
      <c r="B67" s="74"/>
      <c r="C67" s="74" t="s">
        <v>352</v>
      </c>
      <c r="D67" s="33" t="s">
        <v>323</v>
      </c>
      <c r="E67" s="281">
        <v>170</v>
      </c>
      <c r="F67" s="281">
        <v>325</v>
      </c>
      <c r="G67" s="281">
        <v>325</v>
      </c>
    </row>
    <row r="68" spans="2:12" ht="18" customHeight="1">
      <c r="B68" s="74"/>
      <c r="C68" s="197" t="s">
        <v>355</v>
      </c>
      <c r="D68" s="39" t="s">
        <v>323</v>
      </c>
      <c r="E68" s="281">
        <v>250</v>
      </c>
      <c r="F68" s="281">
        <v>375</v>
      </c>
      <c r="G68" s="281">
        <v>325</v>
      </c>
    </row>
    <row r="69" spans="2:12" ht="18" customHeight="1">
      <c r="B69" s="74" t="s">
        <v>1054</v>
      </c>
      <c r="C69" s="74" t="s">
        <v>1188</v>
      </c>
      <c r="D69" s="33" t="s">
        <v>478</v>
      </c>
      <c r="E69" s="281">
        <v>662</v>
      </c>
      <c r="F69" s="281">
        <v>925</v>
      </c>
      <c r="G69" s="281">
        <v>600</v>
      </c>
    </row>
    <row r="70" spans="2:12" ht="18" customHeight="1">
      <c r="B70" s="74"/>
      <c r="C70" s="74" t="s">
        <v>1147</v>
      </c>
      <c r="D70" s="33" t="s">
        <v>323</v>
      </c>
      <c r="E70" s="281">
        <v>650</v>
      </c>
      <c r="F70" s="281">
        <v>1150</v>
      </c>
      <c r="G70" s="281">
        <v>500</v>
      </c>
    </row>
    <row r="71" spans="2:12" ht="18" customHeight="1">
      <c r="B71" s="74"/>
      <c r="C71" s="74" t="s">
        <v>604</v>
      </c>
      <c r="D71" s="33" t="s">
        <v>323</v>
      </c>
      <c r="E71" s="560">
        <v>625</v>
      </c>
      <c r="F71" s="560" t="s">
        <v>906</v>
      </c>
      <c r="G71" s="560" t="s">
        <v>906</v>
      </c>
    </row>
    <row r="72" spans="2:12" ht="18" customHeight="1">
      <c r="B72" s="74"/>
      <c r="C72" s="74" t="s">
        <v>350</v>
      </c>
      <c r="D72" s="33" t="s">
        <v>323</v>
      </c>
      <c r="E72" s="281">
        <v>700</v>
      </c>
      <c r="F72" s="281">
        <v>1075</v>
      </c>
      <c r="G72" s="281">
        <v>600</v>
      </c>
    </row>
    <row r="73" spans="2:12" ht="18" customHeight="1">
      <c r="B73" s="74"/>
      <c r="C73" s="74" t="s">
        <v>352</v>
      </c>
      <c r="D73" s="33" t="s">
        <v>323</v>
      </c>
      <c r="E73" s="281">
        <v>640</v>
      </c>
      <c r="F73" s="281">
        <v>1100</v>
      </c>
      <c r="G73" s="281">
        <v>500</v>
      </c>
    </row>
    <row r="74" spans="2:12" ht="18" customHeight="1">
      <c r="B74" s="74"/>
      <c r="C74" s="74" t="s">
        <v>355</v>
      </c>
      <c r="D74" s="33" t="s">
        <v>323</v>
      </c>
      <c r="E74" s="281">
        <v>650</v>
      </c>
      <c r="F74" s="281">
        <v>1050</v>
      </c>
      <c r="G74" s="281">
        <v>575</v>
      </c>
    </row>
    <row r="75" spans="2:12" ht="18" customHeight="1">
      <c r="B75" s="74" t="s">
        <v>1016</v>
      </c>
      <c r="C75" s="74" t="s">
        <v>350</v>
      </c>
      <c r="D75" s="33" t="s">
        <v>323</v>
      </c>
      <c r="E75" s="281">
        <v>315</v>
      </c>
      <c r="F75" s="281">
        <v>382.5</v>
      </c>
      <c r="G75" s="281">
        <v>441</v>
      </c>
      <c r="L75" s="177"/>
    </row>
    <row r="76" spans="2:12" ht="18" customHeight="1">
      <c r="B76" s="74"/>
      <c r="C76" s="74" t="s">
        <v>352</v>
      </c>
      <c r="D76" s="33" t="s">
        <v>323</v>
      </c>
      <c r="E76" s="281" t="s">
        <v>906</v>
      </c>
      <c r="F76" s="281">
        <v>385</v>
      </c>
      <c r="G76" s="560" t="s">
        <v>906</v>
      </c>
    </row>
    <row r="77" spans="2:12" ht="18" customHeight="1">
      <c r="B77" s="74" t="s">
        <v>680</v>
      </c>
      <c r="C77" s="74" t="s">
        <v>352</v>
      </c>
      <c r="D77" s="33" t="s">
        <v>1086</v>
      </c>
      <c r="E77" s="281">
        <v>300</v>
      </c>
      <c r="F77" s="281">
        <v>500</v>
      </c>
      <c r="G77" s="560" t="s">
        <v>906</v>
      </c>
    </row>
    <row r="78" spans="2:12" ht="18" customHeight="1">
      <c r="B78" s="74"/>
      <c r="C78" s="74" t="s">
        <v>969</v>
      </c>
      <c r="D78" s="33" t="s">
        <v>323</v>
      </c>
      <c r="E78" s="281">
        <v>280</v>
      </c>
      <c r="F78" s="281" t="s">
        <v>906</v>
      </c>
      <c r="G78" s="560" t="s">
        <v>906</v>
      </c>
    </row>
    <row r="79" spans="2:12" ht="18" customHeight="1">
      <c r="B79" s="74" t="s">
        <v>1017</v>
      </c>
      <c r="C79" s="74" t="s">
        <v>352</v>
      </c>
      <c r="D79" s="33" t="s">
        <v>323</v>
      </c>
      <c r="E79" s="281" t="s">
        <v>906</v>
      </c>
      <c r="F79" s="281">
        <v>500</v>
      </c>
      <c r="G79" s="560" t="s">
        <v>906</v>
      </c>
    </row>
    <row r="80" spans="2:12" ht="18" customHeight="1">
      <c r="B80" s="74" t="s">
        <v>989</v>
      </c>
      <c r="C80" s="74" t="s">
        <v>352</v>
      </c>
      <c r="D80" s="33" t="s">
        <v>970</v>
      </c>
      <c r="E80" s="281">
        <v>11000</v>
      </c>
      <c r="F80" s="281">
        <v>10250</v>
      </c>
      <c r="G80" s="281">
        <v>10500</v>
      </c>
    </row>
    <row r="81" spans="2:7" ht="18" customHeight="1">
      <c r="B81" s="74" t="s">
        <v>971</v>
      </c>
      <c r="C81" s="74" t="s">
        <v>352</v>
      </c>
      <c r="D81" s="33" t="s">
        <v>973</v>
      </c>
      <c r="E81" s="281">
        <v>25</v>
      </c>
      <c r="F81" s="281">
        <v>30</v>
      </c>
      <c r="G81" s="281">
        <v>30</v>
      </c>
    </row>
    <row r="82" spans="2:7" ht="18" customHeight="1">
      <c r="B82" s="74" t="s">
        <v>972</v>
      </c>
      <c r="C82" s="74" t="s">
        <v>352</v>
      </c>
      <c r="D82" s="33" t="s">
        <v>990</v>
      </c>
      <c r="E82" s="281">
        <v>2025</v>
      </c>
      <c r="F82" s="281">
        <v>2100</v>
      </c>
      <c r="G82" s="281">
        <v>2275</v>
      </c>
    </row>
    <row r="83" spans="2:7" ht="18" customHeight="1">
      <c r="B83" s="74" t="s">
        <v>994</v>
      </c>
      <c r="C83" s="197" t="s">
        <v>352</v>
      </c>
      <c r="D83" s="33" t="s">
        <v>973</v>
      </c>
      <c r="E83" s="281" t="s">
        <v>906</v>
      </c>
      <c r="F83" s="281">
        <v>35</v>
      </c>
      <c r="G83" s="560" t="s">
        <v>906</v>
      </c>
    </row>
    <row r="84" spans="2:7" ht="18" customHeight="1">
      <c r="B84" s="568" t="s">
        <v>995</v>
      </c>
      <c r="C84" s="75" t="s">
        <v>352</v>
      </c>
      <c r="D84" s="42" t="s">
        <v>970</v>
      </c>
      <c r="E84" s="283">
        <v>16000</v>
      </c>
      <c r="F84" s="283">
        <v>18000</v>
      </c>
      <c r="G84" s="283">
        <v>24000</v>
      </c>
    </row>
    <row r="85" spans="2:7" ht="15" customHeight="1">
      <c r="B85" s="190"/>
      <c r="C85" s="190"/>
      <c r="D85" s="24"/>
      <c r="E85" s="789"/>
      <c r="F85" s="302"/>
      <c r="G85" s="790" t="s">
        <v>480</v>
      </c>
    </row>
    <row r="86" spans="2:7" ht="14.25" customHeight="1">
      <c r="B86" s="1508" t="s">
        <v>518</v>
      </c>
      <c r="C86" s="1508"/>
      <c r="D86" s="1508"/>
      <c r="E86" s="1508"/>
      <c r="F86" s="1508"/>
      <c r="G86" s="1508"/>
    </row>
    <row r="87" spans="2:7" ht="17.25" customHeight="1">
      <c r="B87" s="1208" t="s">
        <v>1358</v>
      </c>
      <c r="C87" s="1208" t="s">
        <v>1359</v>
      </c>
      <c r="D87" s="1208" t="s">
        <v>305</v>
      </c>
      <c r="E87" s="1193" t="s">
        <v>840</v>
      </c>
      <c r="F87" s="1506"/>
      <c r="G87" s="1507"/>
    </row>
    <row r="88" spans="2:7" ht="17.25" customHeight="1">
      <c r="B88" s="1197"/>
      <c r="C88" s="1197"/>
      <c r="D88" s="1197"/>
      <c r="E88" s="445">
        <f>District!D10</f>
        <v>2012</v>
      </c>
      <c r="F88" s="412">
        <f>District!E10</f>
        <v>2013</v>
      </c>
      <c r="G88" s="412">
        <f>District!F10</f>
        <v>2014</v>
      </c>
    </row>
    <row r="89" spans="2:7" ht="17.25" customHeight="1">
      <c r="B89" s="213" t="s">
        <v>418</v>
      </c>
      <c r="C89" s="213" t="s">
        <v>419</v>
      </c>
      <c r="D89" s="213" t="s">
        <v>420</v>
      </c>
      <c r="E89" s="222" t="s">
        <v>421</v>
      </c>
      <c r="F89" s="213" t="s">
        <v>422</v>
      </c>
      <c r="G89" s="214" t="s">
        <v>423</v>
      </c>
    </row>
    <row r="90" spans="2:7" ht="18" customHeight="1">
      <c r="B90" s="74" t="s">
        <v>1059</v>
      </c>
      <c r="C90" s="74" t="s">
        <v>350</v>
      </c>
      <c r="D90" s="33" t="s">
        <v>1146</v>
      </c>
      <c r="E90" s="281">
        <v>700</v>
      </c>
      <c r="F90" s="281">
        <v>770</v>
      </c>
      <c r="G90" s="281">
        <v>1300</v>
      </c>
    </row>
    <row r="91" spans="2:7" ht="18" customHeight="1">
      <c r="B91" s="74"/>
      <c r="C91" s="74" t="s">
        <v>1188</v>
      </c>
      <c r="D91" s="33" t="s">
        <v>323</v>
      </c>
      <c r="E91" s="281">
        <v>762</v>
      </c>
      <c r="F91" s="281">
        <v>762.5</v>
      </c>
      <c r="G91" s="281">
        <v>1350</v>
      </c>
    </row>
    <row r="92" spans="2:7" ht="18" customHeight="1">
      <c r="B92" s="301" t="s">
        <v>182</v>
      </c>
      <c r="C92" s="74" t="s">
        <v>1188</v>
      </c>
      <c r="D92" s="33" t="s">
        <v>323</v>
      </c>
      <c r="E92" s="281">
        <v>5300</v>
      </c>
      <c r="F92" s="281">
        <v>5500</v>
      </c>
      <c r="G92" s="281">
        <v>6875</v>
      </c>
    </row>
    <row r="93" spans="2:7" ht="18" customHeight="1">
      <c r="B93" s="301" t="s">
        <v>183</v>
      </c>
      <c r="C93" s="74" t="s">
        <v>350</v>
      </c>
      <c r="D93" s="33" t="s">
        <v>323</v>
      </c>
      <c r="E93" s="281">
        <v>2400</v>
      </c>
      <c r="F93" s="281">
        <v>5000</v>
      </c>
      <c r="G93" s="281">
        <v>6500</v>
      </c>
    </row>
    <row r="94" spans="2:7" ht="18" customHeight="1">
      <c r="B94" s="74" t="s">
        <v>1502</v>
      </c>
      <c r="C94" s="197" t="s">
        <v>1188</v>
      </c>
      <c r="D94" s="39" t="s">
        <v>323</v>
      </c>
      <c r="E94" s="186">
        <v>3500</v>
      </c>
      <c r="F94" s="186">
        <v>4350</v>
      </c>
      <c r="G94" s="186">
        <v>3475</v>
      </c>
    </row>
    <row r="95" spans="2:7" ht="18" customHeight="1">
      <c r="B95" s="74"/>
      <c r="C95" s="74" t="s">
        <v>350</v>
      </c>
      <c r="D95" s="33" t="s">
        <v>323</v>
      </c>
      <c r="E95" s="281">
        <v>3425</v>
      </c>
      <c r="F95" s="281">
        <v>4200</v>
      </c>
      <c r="G95" s="281">
        <v>3490</v>
      </c>
    </row>
    <row r="96" spans="2:7" ht="18" customHeight="1">
      <c r="B96" s="74" t="s">
        <v>1612</v>
      </c>
      <c r="C96" s="74" t="s">
        <v>1188</v>
      </c>
      <c r="D96" s="29" t="s">
        <v>323</v>
      </c>
      <c r="E96" s="281">
        <v>2625</v>
      </c>
      <c r="F96" s="281">
        <v>3000</v>
      </c>
      <c r="G96" s="281">
        <v>2800</v>
      </c>
    </row>
    <row r="97" spans="2:7" ht="18" customHeight="1">
      <c r="B97" s="74"/>
      <c r="C97" s="74" t="s">
        <v>350</v>
      </c>
      <c r="D97" s="29" t="s">
        <v>323</v>
      </c>
      <c r="E97" s="281">
        <v>2750</v>
      </c>
      <c r="F97" s="281">
        <v>3075</v>
      </c>
      <c r="G97" s="281">
        <v>2950</v>
      </c>
    </row>
    <row r="98" spans="2:7" ht="18" customHeight="1">
      <c r="B98" s="74" t="s">
        <v>974</v>
      </c>
      <c r="C98" s="74" t="s">
        <v>1188</v>
      </c>
      <c r="D98" s="29" t="s">
        <v>323</v>
      </c>
      <c r="E98" s="281">
        <v>2780</v>
      </c>
      <c r="F98" s="281">
        <v>3275</v>
      </c>
      <c r="G98" s="281">
        <v>2962</v>
      </c>
    </row>
    <row r="99" spans="2:7" ht="18" customHeight="1">
      <c r="B99" s="74"/>
      <c r="C99" s="74" t="s">
        <v>350</v>
      </c>
      <c r="D99" s="29" t="s">
        <v>323</v>
      </c>
      <c r="E99" s="281">
        <v>2800</v>
      </c>
      <c r="F99" s="281">
        <v>3050</v>
      </c>
      <c r="G99" s="281">
        <v>3250</v>
      </c>
    </row>
    <row r="100" spans="2:7" ht="18" customHeight="1">
      <c r="B100" s="74" t="s">
        <v>975</v>
      </c>
      <c r="C100" s="197" t="s">
        <v>1188</v>
      </c>
      <c r="D100" s="39" t="s">
        <v>323</v>
      </c>
      <c r="E100" s="186">
        <v>11000</v>
      </c>
      <c r="F100" s="186">
        <v>10000</v>
      </c>
      <c r="G100" s="186">
        <v>14000</v>
      </c>
    </row>
    <row r="101" spans="2:7" ht="18" customHeight="1">
      <c r="B101" s="74"/>
      <c r="C101" s="74" t="s">
        <v>350</v>
      </c>
      <c r="D101" s="29" t="s">
        <v>323</v>
      </c>
      <c r="E101" s="281">
        <v>10050</v>
      </c>
      <c r="F101" s="281">
        <v>9875</v>
      </c>
      <c r="G101" s="281">
        <v>15000</v>
      </c>
    </row>
    <row r="102" spans="2:7" ht="18" customHeight="1">
      <c r="B102" s="74" t="s">
        <v>976</v>
      </c>
      <c r="C102" s="74" t="s">
        <v>1188</v>
      </c>
      <c r="D102" s="29" t="s">
        <v>323</v>
      </c>
      <c r="E102" s="281">
        <v>10000</v>
      </c>
      <c r="F102" s="281">
        <v>10000</v>
      </c>
      <c r="G102" s="281">
        <v>16000</v>
      </c>
    </row>
    <row r="103" spans="2:7" ht="18" customHeight="1">
      <c r="B103" s="74"/>
      <c r="C103" s="74" t="s">
        <v>350</v>
      </c>
      <c r="D103" s="29" t="s">
        <v>323</v>
      </c>
      <c r="E103" s="281">
        <v>9000</v>
      </c>
      <c r="F103" s="281">
        <v>9875</v>
      </c>
      <c r="G103" s="281">
        <v>16000</v>
      </c>
    </row>
    <row r="104" spans="2:7" ht="18" customHeight="1">
      <c r="B104" s="74" t="s">
        <v>244</v>
      </c>
      <c r="C104" s="74" t="s">
        <v>1188</v>
      </c>
      <c r="D104" s="29" t="s">
        <v>323</v>
      </c>
      <c r="E104" s="281">
        <v>4700</v>
      </c>
      <c r="F104" s="281">
        <v>6000</v>
      </c>
      <c r="G104" s="281">
        <v>7500</v>
      </c>
    </row>
    <row r="105" spans="2:7" ht="18" customHeight="1">
      <c r="B105" s="74"/>
      <c r="C105" s="74" t="s">
        <v>350</v>
      </c>
      <c r="D105" s="29" t="s">
        <v>323</v>
      </c>
      <c r="E105" s="281">
        <v>4750</v>
      </c>
      <c r="F105" s="281">
        <v>5850</v>
      </c>
      <c r="G105" s="281">
        <v>9250</v>
      </c>
    </row>
    <row r="106" spans="2:7" ht="18" customHeight="1">
      <c r="B106" s="74" t="s">
        <v>977</v>
      </c>
      <c r="C106" s="74" t="s">
        <v>1188</v>
      </c>
      <c r="D106" s="29" t="s">
        <v>323</v>
      </c>
      <c r="E106" s="281">
        <v>375</v>
      </c>
      <c r="F106" s="281">
        <v>387.5</v>
      </c>
      <c r="G106" s="281">
        <v>362</v>
      </c>
    </row>
    <row r="107" spans="2:7" ht="18" customHeight="1">
      <c r="B107" s="74"/>
      <c r="C107" s="74" t="s">
        <v>350</v>
      </c>
      <c r="D107" s="29" t="s">
        <v>323</v>
      </c>
      <c r="E107" s="281">
        <v>400</v>
      </c>
      <c r="F107" s="281">
        <v>550</v>
      </c>
      <c r="G107" s="281">
        <v>500</v>
      </c>
    </row>
    <row r="108" spans="2:7" ht="18" customHeight="1">
      <c r="B108" s="74"/>
      <c r="C108" s="74" t="s">
        <v>1147</v>
      </c>
      <c r="D108" s="29" t="s">
        <v>323</v>
      </c>
      <c r="E108" s="281">
        <v>360</v>
      </c>
      <c r="F108" s="281">
        <v>525</v>
      </c>
      <c r="G108" s="281">
        <v>360</v>
      </c>
    </row>
    <row r="109" spans="2:7" ht="18" customHeight="1">
      <c r="B109" s="74"/>
      <c r="C109" s="74" t="s">
        <v>604</v>
      </c>
      <c r="D109" s="29" t="s">
        <v>323</v>
      </c>
      <c r="E109" s="281">
        <v>300</v>
      </c>
      <c r="F109" s="281" t="s">
        <v>906</v>
      </c>
      <c r="G109" s="560" t="s">
        <v>906</v>
      </c>
    </row>
    <row r="110" spans="2:7" ht="18" customHeight="1">
      <c r="B110" s="74"/>
      <c r="C110" s="74" t="s">
        <v>352</v>
      </c>
      <c r="D110" s="29" t="s">
        <v>323</v>
      </c>
      <c r="E110" s="281">
        <v>350</v>
      </c>
      <c r="F110" s="281">
        <v>500</v>
      </c>
      <c r="G110" s="281">
        <v>500</v>
      </c>
    </row>
    <row r="111" spans="2:7" ht="18" customHeight="1">
      <c r="B111" s="74"/>
      <c r="C111" s="74" t="s">
        <v>355</v>
      </c>
      <c r="D111" s="29" t="s">
        <v>323</v>
      </c>
      <c r="E111" s="281">
        <v>400</v>
      </c>
      <c r="F111" s="281">
        <v>612.5</v>
      </c>
      <c r="G111" s="281">
        <v>600</v>
      </c>
    </row>
    <row r="112" spans="2:7" ht="18" customHeight="1">
      <c r="B112" s="74" t="s">
        <v>978</v>
      </c>
      <c r="C112" s="74" t="s">
        <v>1188</v>
      </c>
      <c r="D112" s="29" t="s">
        <v>323</v>
      </c>
      <c r="E112" s="281">
        <v>550</v>
      </c>
      <c r="F112" s="281">
        <v>675</v>
      </c>
      <c r="G112" s="281">
        <v>882</v>
      </c>
    </row>
    <row r="113" spans="2:13" ht="18" customHeight="1">
      <c r="B113" s="74"/>
      <c r="C113" s="74" t="s">
        <v>1147</v>
      </c>
      <c r="D113" s="29" t="s">
        <v>323</v>
      </c>
      <c r="E113" s="281">
        <v>520</v>
      </c>
      <c r="F113" s="281">
        <v>850</v>
      </c>
      <c r="G113" s="560" t="s">
        <v>906</v>
      </c>
      <c r="J113" s="177"/>
      <c r="K113" s="177"/>
    </row>
    <row r="114" spans="2:13" ht="18" customHeight="1">
      <c r="B114" s="74"/>
      <c r="C114" s="74" t="s">
        <v>604</v>
      </c>
      <c r="D114" s="29" t="s">
        <v>323</v>
      </c>
      <c r="E114" s="281">
        <v>525</v>
      </c>
      <c r="F114" s="281" t="s">
        <v>906</v>
      </c>
      <c r="G114" s="281">
        <v>710</v>
      </c>
      <c r="J114" s="177"/>
      <c r="K114" s="177"/>
    </row>
    <row r="115" spans="2:13" ht="18" customHeight="1">
      <c r="B115" s="74"/>
      <c r="C115" s="74" t="s">
        <v>350</v>
      </c>
      <c r="D115" s="29" t="s">
        <v>323</v>
      </c>
      <c r="E115" s="281">
        <v>540</v>
      </c>
      <c r="F115" s="281">
        <v>887.5</v>
      </c>
      <c r="G115" s="278" t="s">
        <v>906</v>
      </c>
      <c r="J115" s="177"/>
      <c r="K115" s="177"/>
      <c r="L115" s="777"/>
      <c r="M115" s="177"/>
    </row>
    <row r="116" spans="2:13" ht="18" customHeight="1">
      <c r="B116" s="74"/>
      <c r="C116" s="74" t="s">
        <v>352</v>
      </c>
      <c r="D116" s="29" t="s">
        <v>323</v>
      </c>
      <c r="E116" s="560">
        <v>587</v>
      </c>
      <c r="F116" s="560">
        <v>850</v>
      </c>
      <c r="G116" s="278" t="s">
        <v>906</v>
      </c>
      <c r="K116" s="177"/>
      <c r="L116" s="777"/>
      <c r="M116" s="177"/>
    </row>
    <row r="117" spans="2:13" ht="18" customHeight="1">
      <c r="B117" s="74"/>
      <c r="C117" s="74" t="s">
        <v>355</v>
      </c>
      <c r="D117" s="29" t="s">
        <v>323</v>
      </c>
      <c r="E117" s="560">
        <v>620</v>
      </c>
      <c r="F117" s="560">
        <v>837.5</v>
      </c>
      <c r="G117" s="278" t="s">
        <v>906</v>
      </c>
      <c r="K117" s="177"/>
      <c r="L117" s="177"/>
      <c r="M117" s="177"/>
    </row>
    <row r="118" spans="2:13" ht="18" customHeight="1">
      <c r="B118" s="74" t="s">
        <v>1052</v>
      </c>
      <c r="C118" s="74" t="s">
        <v>1188</v>
      </c>
      <c r="D118" s="29" t="s">
        <v>323</v>
      </c>
      <c r="E118" s="281">
        <v>300</v>
      </c>
      <c r="F118" s="281">
        <v>540</v>
      </c>
      <c r="G118" s="281">
        <v>525</v>
      </c>
      <c r="K118" s="177"/>
      <c r="L118" s="177"/>
      <c r="M118" s="177"/>
    </row>
    <row r="119" spans="2:13" ht="18" customHeight="1">
      <c r="B119" s="74"/>
      <c r="C119" s="74" t="s">
        <v>1147</v>
      </c>
      <c r="D119" s="29" t="s">
        <v>323</v>
      </c>
      <c r="E119" s="281">
        <v>275</v>
      </c>
      <c r="F119" s="281">
        <v>550</v>
      </c>
      <c r="G119" s="281">
        <v>650</v>
      </c>
    </row>
    <row r="120" spans="2:13" ht="18" customHeight="1">
      <c r="B120" s="74"/>
      <c r="C120" s="74" t="s">
        <v>604</v>
      </c>
      <c r="D120" s="29" t="s">
        <v>323</v>
      </c>
      <c r="E120" s="281">
        <v>280</v>
      </c>
      <c r="F120" s="281" t="s">
        <v>906</v>
      </c>
      <c r="G120" s="560" t="s">
        <v>906</v>
      </c>
    </row>
    <row r="121" spans="2:13" ht="18" customHeight="1">
      <c r="B121" s="74"/>
      <c r="C121" s="74" t="s">
        <v>350</v>
      </c>
      <c r="D121" s="29" t="s">
        <v>323</v>
      </c>
      <c r="E121" s="281">
        <v>300</v>
      </c>
      <c r="F121" s="281">
        <v>712.5</v>
      </c>
      <c r="G121" s="281">
        <v>600</v>
      </c>
    </row>
    <row r="122" spans="2:13" ht="18" customHeight="1">
      <c r="B122" s="76"/>
      <c r="C122" s="76" t="s">
        <v>352</v>
      </c>
      <c r="D122" s="29" t="s">
        <v>323</v>
      </c>
      <c r="E122" s="281">
        <v>275</v>
      </c>
      <c r="F122" s="281">
        <v>700</v>
      </c>
      <c r="G122" s="281">
        <v>675</v>
      </c>
    </row>
    <row r="123" spans="2:13" ht="18" customHeight="1">
      <c r="B123" s="74"/>
      <c r="C123" s="74" t="s">
        <v>355</v>
      </c>
      <c r="D123" s="29" t="s">
        <v>323</v>
      </c>
      <c r="E123" s="281">
        <v>350</v>
      </c>
      <c r="F123" s="281">
        <v>800</v>
      </c>
      <c r="G123" s="281">
        <v>800</v>
      </c>
    </row>
    <row r="124" spans="2:13" ht="18" customHeight="1">
      <c r="B124" s="74" t="s">
        <v>142</v>
      </c>
      <c r="C124" s="74" t="s">
        <v>1188</v>
      </c>
      <c r="D124" s="29" t="s">
        <v>323</v>
      </c>
      <c r="E124" s="281">
        <v>325</v>
      </c>
      <c r="F124" s="281">
        <v>425</v>
      </c>
      <c r="G124" s="281">
        <v>200</v>
      </c>
    </row>
    <row r="125" spans="2:13" ht="18" customHeight="1">
      <c r="B125" s="74"/>
      <c r="C125" s="74" t="s">
        <v>1147</v>
      </c>
      <c r="D125" s="29" t="s">
        <v>323</v>
      </c>
      <c r="E125" s="281">
        <v>300</v>
      </c>
      <c r="F125" s="281" t="s">
        <v>906</v>
      </c>
      <c r="G125" s="281">
        <v>225</v>
      </c>
    </row>
    <row r="126" spans="2:13" ht="18" customHeight="1">
      <c r="B126" s="74"/>
      <c r="C126" s="74" t="s">
        <v>350</v>
      </c>
      <c r="D126" s="29" t="s">
        <v>323</v>
      </c>
      <c r="E126" s="281" t="s">
        <v>906</v>
      </c>
      <c r="F126" s="281">
        <v>325</v>
      </c>
      <c r="G126" s="560">
        <v>325</v>
      </c>
    </row>
    <row r="127" spans="2:13" ht="18" customHeight="1">
      <c r="B127" s="74"/>
      <c r="C127" s="74" t="s">
        <v>604</v>
      </c>
      <c r="D127" s="29"/>
      <c r="E127" s="281">
        <v>320</v>
      </c>
      <c r="F127" s="281" t="s">
        <v>906</v>
      </c>
      <c r="G127" s="560" t="s">
        <v>906</v>
      </c>
    </row>
    <row r="128" spans="2:13" ht="18" customHeight="1">
      <c r="B128" s="74"/>
      <c r="C128" s="74" t="s">
        <v>352</v>
      </c>
      <c r="D128" s="29" t="s">
        <v>323</v>
      </c>
      <c r="E128" s="278" t="s">
        <v>906</v>
      </c>
      <c r="F128" s="281">
        <v>325</v>
      </c>
      <c r="G128" s="281">
        <v>350</v>
      </c>
    </row>
    <row r="129" spans="2:7" ht="18" customHeight="1">
      <c r="B129" s="75"/>
      <c r="C129" s="75" t="s">
        <v>355</v>
      </c>
      <c r="D129" s="56" t="s">
        <v>323</v>
      </c>
      <c r="E129" s="954" t="s">
        <v>906</v>
      </c>
      <c r="F129" s="283">
        <v>375</v>
      </c>
      <c r="G129" s="552">
        <v>350</v>
      </c>
    </row>
    <row r="130" spans="2:7" ht="15" customHeight="1">
      <c r="B130" s="266"/>
      <c r="C130" s="266"/>
      <c r="D130" s="266"/>
      <c r="E130" s="302"/>
      <c r="F130" s="302"/>
      <c r="G130" s="790" t="s">
        <v>480</v>
      </c>
    </row>
    <row r="131" spans="2:7" ht="15" customHeight="1">
      <c r="F131" s="272"/>
    </row>
    <row r="132" spans="2:7" ht="14.25" customHeight="1">
      <c r="B132" s="1508" t="s">
        <v>1565</v>
      </c>
      <c r="C132" s="1508"/>
      <c r="D132" s="1508"/>
      <c r="E132" s="1508"/>
      <c r="F132" s="1508"/>
      <c r="G132" s="1508"/>
    </row>
    <row r="133" spans="2:7" ht="17.25" customHeight="1">
      <c r="B133" s="1196" t="s">
        <v>1358</v>
      </c>
      <c r="C133" s="1196" t="s">
        <v>1359</v>
      </c>
      <c r="D133" s="1196" t="s">
        <v>305</v>
      </c>
      <c r="E133" s="1193" t="s">
        <v>840</v>
      </c>
      <c r="F133" s="1506"/>
      <c r="G133" s="1507"/>
    </row>
    <row r="134" spans="2:7" ht="17.25" customHeight="1">
      <c r="B134" s="1197"/>
      <c r="C134" s="1197"/>
      <c r="D134" s="1197"/>
      <c r="E134" s="445">
        <f>District!D10</f>
        <v>2012</v>
      </c>
      <c r="F134" s="412">
        <f>District!E10</f>
        <v>2013</v>
      </c>
      <c r="G134" s="412">
        <f>District!F10</f>
        <v>2014</v>
      </c>
    </row>
    <row r="135" spans="2:7" ht="17.25" customHeight="1">
      <c r="B135" s="213" t="s">
        <v>418</v>
      </c>
      <c r="C135" s="213" t="s">
        <v>419</v>
      </c>
      <c r="D135" s="213" t="s">
        <v>420</v>
      </c>
      <c r="E135" s="222" t="s">
        <v>421</v>
      </c>
      <c r="F135" s="181" t="s">
        <v>422</v>
      </c>
      <c r="G135" s="182" t="s">
        <v>423</v>
      </c>
    </row>
    <row r="136" spans="2:7" ht="18" customHeight="1">
      <c r="B136" s="74" t="s">
        <v>245</v>
      </c>
      <c r="C136" s="74" t="s">
        <v>1188</v>
      </c>
      <c r="D136" s="29" t="s">
        <v>1146</v>
      </c>
      <c r="E136" s="281">
        <v>9667</v>
      </c>
      <c r="F136" s="186">
        <v>9853</v>
      </c>
      <c r="G136" s="186">
        <v>9480</v>
      </c>
    </row>
    <row r="137" spans="2:7" ht="18" customHeight="1">
      <c r="B137" s="74"/>
      <c r="C137" s="74" t="s">
        <v>350</v>
      </c>
      <c r="D137" s="29" t="s">
        <v>323</v>
      </c>
      <c r="E137" s="281">
        <v>8987</v>
      </c>
      <c r="F137" s="186">
        <v>9933</v>
      </c>
      <c r="G137" s="186">
        <v>8933</v>
      </c>
    </row>
    <row r="138" spans="2:7" ht="18" customHeight="1">
      <c r="B138" s="74" t="s">
        <v>246</v>
      </c>
      <c r="C138" s="74" t="s">
        <v>1188</v>
      </c>
      <c r="D138" s="29" t="s">
        <v>1146</v>
      </c>
      <c r="E138" s="281">
        <v>1300</v>
      </c>
      <c r="F138" s="186">
        <v>2212.5</v>
      </c>
      <c r="G138" s="186">
        <v>1900</v>
      </c>
    </row>
    <row r="139" spans="2:7" ht="18" customHeight="1">
      <c r="B139" s="74"/>
      <c r="C139" s="197" t="s">
        <v>350</v>
      </c>
      <c r="D139" s="24" t="s">
        <v>323</v>
      </c>
      <c r="E139" s="281">
        <v>1350</v>
      </c>
      <c r="F139" s="186">
        <v>2225</v>
      </c>
      <c r="G139" s="186">
        <v>1925</v>
      </c>
    </row>
    <row r="140" spans="2:7" ht="18" customHeight="1">
      <c r="B140" s="74" t="s">
        <v>1518</v>
      </c>
      <c r="C140" s="197" t="s">
        <v>1188</v>
      </c>
      <c r="D140" s="39" t="s">
        <v>477</v>
      </c>
      <c r="E140" s="186">
        <v>300</v>
      </c>
      <c r="F140" s="186">
        <v>350</v>
      </c>
      <c r="G140" s="186">
        <v>557</v>
      </c>
    </row>
    <row r="141" spans="2:7" ht="18" customHeight="1">
      <c r="B141" s="76"/>
      <c r="C141" s="74" t="s">
        <v>350</v>
      </c>
      <c r="D141" s="29" t="s">
        <v>323</v>
      </c>
      <c r="E141" s="281">
        <v>325</v>
      </c>
      <c r="F141" s="186">
        <v>413</v>
      </c>
      <c r="G141" s="186">
        <v>525</v>
      </c>
    </row>
    <row r="142" spans="2:7" ht="18" customHeight="1">
      <c r="B142" s="76" t="s">
        <v>993</v>
      </c>
      <c r="C142" s="74" t="s">
        <v>1147</v>
      </c>
      <c r="D142" s="29" t="s">
        <v>1146</v>
      </c>
      <c r="E142" s="281" t="s">
        <v>906</v>
      </c>
      <c r="F142" s="186">
        <v>90</v>
      </c>
      <c r="G142" s="982" t="s">
        <v>906</v>
      </c>
    </row>
    <row r="143" spans="2:7" ht="18" customHeight="1">
      <c r="B143" s="74" t="s">
        <v>979</v>
      </c>
      <c r="C143" s="74" t="s">
        <v>350</v>
      </c>
      <c r="D143" s="29" t="s">
        <v>1146</v>
      </c>
      <c r="E143" s="281">
        <v>600</v>
      </c>
      <c r="F143" s="186">
        <v>500</v>
      </c>
      <c r="G143" s="186">
        <v>600</v>
      </c>
    </row>
    <row r="144" spans="2:7" ht="18" customHeight="1">
      <c r="B144" s="74" t="s">
        <v>980</v>
      </c>
      <c r="C144" s="74" t="s">
        <v>350</v>
      </c>
      <c r="D144" s="29" t="s">
        <v>323</v>
      </c>
      <c r="E144" s="281">
        <v>28000</v>
      </c>
      <c r="F144" s="186">
        <v>23000</v>
      </c>
      <c r="G144" s="186">
        <v>30000</v>
      </c>
    </row>
    <row r="145" spans="2:10" ht="18" customHeight="1">
      <c r="B145" s="74" t="s">
        <v>981</v>
      </c>
      <c r="C145" s="197" t="s">
        <v>350</v>
      </c>
      <c r="D145" s="39" t="s">
        <v>323</v>
      </c>
      <c r="E145" s="186">
        <v>7500</v>
      </c>
      <c r="F145" s="186">
        <v>10000</v>
      </c>
      <c r="G145" s="186">
        <v>10000</v>
      </c>
      <c r="I145" s="776"/>
      <c r="J145" s="177"/>
    </row>
    <row r="146" spans="2:10" ht="18" customHeight="1">
      <c r="B146" s="74" t="s">
        <v>247</v>
      </c>
      <c r="C146" s="74" t="s">
        <v>350</v>
      </c>
      <c r="D146" s="33" t="s">
        <v>323</v>
      </c>
      <c r="E146" s="281">
        <v>6000</v>
      </c>
      <c r="F146" s="281">
        <v>9000</v>
      </c>
      <c r="G146" s="281">
        <v>9000</v>
      </c>
      <c r="I146" s="776"/>
      <c r="J146" s="177"/>
    </row>
    <row r="147" spans="2:10" ht="18" customHeight="1">
      <c r="B147" s="74" t="s">
        <v>987</v>
      </c>
      <c r="C147" s="74" t="s">
        <v>1188</v>
      </c>
      <c r="D147" s="33" t="s">
        <v>973</v>
      </c>
      <c r="E147" s="281">
        <v>60</v>
      </c>
      <c r="F147" s="281">
        <v>90</v>
      </c>
      <c r="G147" s="281">
        <v>85</v>
      </c>
      <c r="I147" s="776"/>
      <c r="J147" s="776"/>
    </row>
    <row r="148" spans="2:10" ht="18" customHeight="1">
      <c r="B148" s="74"/>
      <c r="C148" s="74" t="s">
        <v>350</v>
      </c>
      <c r="D148" s="33" t="s">
        <v>323</v>
      </c>
      <c r="E148" s="281">
        <v>70</v>
      </c>
      <c r="F148" s="281">
        <v>83</v>
      </c>
      <c r="G148" s="281">
        <v>90</v>
      </c>
      <c r="I148" s="776"/>
      <c r="J148" s="776"/>
    </row>
    <row r="149" spans="2:10" ht="18" customHeight="1">
      <c r="B149" s="74" t="s">
        <v>996</v>
      </c>
      <c r="C149" s="74" t="s">
        <v>1188</v>
      </c>
      <c r="D149" s="33" t="s">
        <v>323</v>
      </c>
      <c r="E149" s="281">
        <v>30</v>
      </c>
      <c r="F149" s="281">
        <v>28.5</v>
      </c>
      <c r="G149" s="560" t="s">
        <v>906</v>
      </c>
      <c r="I149" s="148"/>
      <c r="J149" s="776"/>
    </row>
    <row r="150" spans="2:10" ht="18" customHeight="1">
      <c r="B150" s="74"/>
      <c r="C150" s="74" t="s">
        <v>350</v>
      </c>
      <c r="D150" s="33" t="s">
        <v>973</v>
      </c>
      <c r="E150" s="281">
        <v>20</v>
      </c>
      <c r="F150" s="281">
        <v>30</v>
      </c>
      <c r="G150" s="560" t="s">
        <v>906</v>
      </c>
      <c r="I150" s="776"/>
      <c r="J150" s="776"/>
    </row>
    <row r="151" spans="2:10" ht="18" customHeight="1">
      <c r="B151" s="74" t="s">
        <v>997</v>
      </c>
      <c r="C151" s="74" t="s">
        <v>1188</v>
      </c>
      <c r="D151" s="33" t="s">
        <v>323</v>
      </c>
      <c r="E151" s="281">
        <v>105</v>
      </c>
      <c r="F151" s="281">
        <v>115</v>
      </c>
      <c r="G151" s="281">
        <v>160</v>
      </c>
      <c r="I151" s="776"/>
      <c r="J151" s="148"/>
    </row>
    <row r="152" spans="2:10" ht="18" customHeight="1">
      <c r="B152" s="1505" t="s">
        <v>998</v>
      </c>
      <c r="C152" s="74" t="s">
        <v>1188</v>
      </c>
      <c r="D152" s="33" t="s">
        <v>323</v>
      </c>
      <c r="E152" s="281">
        <v>1100</v>
      </c>
      <c r="F152" s="281">
        <v>738</v>
      </c>
      <c r="G152" s="281">
        <v>1562</v>
      </c>
      <c r="I152" s="776"/>
      <c r="J152" s="776"/>
    </row>
    <row r="153" spans="2:10" ht="18" customHeight="1">
      <c r="B153" s="1505"/>
      <c r="C153" s="74" t="s">
        <v>350</v>
      </c>
      <c r="D153" s="33" t="s">
        <v>323</v>
      </c>
      <c r="E153" s="281" t="s">
        <v>906</v>
      </c>
      <c r="F153" s="281">
        <v>1225</v>
      </c>
      <c r="G153" s="281">
        <v>1550</v>
      </c>
      <c r="I153" s="776"/>
      <c r="J153" s="776"/>
    </row>
    <row r="154" spans="2:10" ht="18" customHeight="1">
      <c r="B154" s="74" t="s">
        <v>999</v>
      </c>
      <c r="C154" s="74" t="s">
        <v>350</v>
      </c>
      <c r="D154" s="33" t="s">
        <v>1146</v>
      </c>
      <c r="E154" s="281">
        <v>32500</v>
      </c>
      <c r="F154" s="281">
        <v>30000</v>
      </c>
      <c r="G154" s="560" t="s">
        <v>906</v>
      </c>
      <c r="I154" s="776"/>
      <c r="J154" s="776"/>
    </row>
    <row r="155" spans="2:10" ht="18" customHeight="1">
      <c r="B155" s="301" t="s">
        <v>992</v>
      </c>
      <c r="C155" s="74" t="s">
        <v>350</v>
      </c>
      <c r="D155" s="33" t="s">
        <v>991</v>
      </c>
      <c r="E155" s="281" t="s">
        <v>906</v>
      </c>
      <c r="F155" s="281">
        <v>7450</v>
      </c>
      <c r="G155" s="281">
        <v>7500</v>
      </c>
      <c r="I155" s="776"/>
      <c r="J155" s="776"/>
    </row>
    <row r="156" spans="2:10" ht="18" customHeight="1">
      <c r="B156" s="74" t="s">
        <v>1041</v>
      </c>
      <c r="C156" s="74" t="s">
        <v>1188</v>
      </c>
      <c r="D156" s="33" t="s">
        <v>478</v>
      </c>
      <c r="E156" s="281">
        <v>80</v>
      </c>
      <c r="F156" s="281">
        <v>183</v>
      </c>
      <c r="G156" s="281">
        <v>157</v>
      </c>
      <c r="I156" s="776"/>
      <c r="J156" s="148"/>
    </row>
    <row r="157" spans="2:10" ht="18" customHeight="1">
      <c r="B157" s="74"/>
      <c r="C157" s="74" t="s">
        <v>350</v>
      </c>
      <c r="D157" s="33" t="s">
        <v>323</v>
      </c>
      <c r="E157" s="281">
        <v>90</v>
      </c>
      <c r="F157" s="281">
        <v>187</v>
      </c>
      <c r="G157" s="281">
        <v>200</v>
      </c>
      <c r="I157" s="776"/>
      <c r="J157" s="776"/>
    </row>
    <row r="158" spans="2:10" ht="18" customHeight="1">
      <c r="B158" s="74" t="s">
        <v>1001</v>
      </c>
      <c r="C158" s="74" t="s">
        <v>1188</v>
      </c>
      <c r="D158" s="33" t="s">
        <v>478</v>
      </c>
      <c r="E158" s="281" t="s">
        <v>242</v>
      </c>
      <c r="F158" s="281">
        <v>550</v>
      </c>
      <c r="G158" s="281">
        <v>643</v>
      </c>
      <c r="I158" s="776"/>
      <c r="J158" s="776"/>
    </row>
    <row r="159" spans="2:10" ht="18" customHeight="1">
      <c r="B159" s="74"/>
      <c r="C159" s="74" t="s">
        <v>350</v>
      </c>
      <c r="D159" s="33" t="s">
        <v>323</v>
      </c>
      <c r="E159" s="281" t="s">
        <v>243</v>
      </c>
      <c r="F159" s="281">
        <v>687</v>
      </c>
      <c r="G159" s="281">
        <v>814</v>
      </c>
      <c r="I159" s="776"/>
      <c r="J159" s="776"/>
    </row>
    <row r="160" spans="2:10" ht="18" customHeight="1">
      <c r="B160" s="74" t="s">
        <v>1012</v>
      </c>
      <c r="C160" s="74" t="s">
        <v>1188</v>
      </c>
      <c r="D160" s="33" t="s">
        <v>973</v>
      </c>
      <c r="E160" s="281">
        <v>80</v>
      </c>
      <c r="F160" s="281">
        <v>90</v>
      </c>
      <c r="G160" s="281">
        <v>75</v>
      </c>
      <c r="I160" s="148"/>
      <c r="J160" s="776"/>
    </row>
    <row r="161" spans="2:10" ht="18" customHeight="1">
      <c r="B161" s="74"/>
      <c r="C161" s="74" t="s">
        <v>350</v>
      </c>
      <c r="D161" s="33" t="s">
        <v>323</v>
      </c>
      <c r="E161" s="281">
        <v>75</v>
      </c>
      <c r="F161" s="281">
        <v>110</v>
      </c>
      <c r="G161" s="281">
        <v>87</v>
      </c>
      <c r="I161" s="776"/>
      <c r="J161" s="776"/>
    </row>
    <row r="162" spans="2:10" ht="18" customHeight="1">
      <c r="B162" s="74" t="s">
        <v>1015</v>
      </c>
      <c r="C162" s="74" t="s">
        <v>1188</v>
      </c>
      <c r="D162" s="33" t="s">
        <v>1146</v>
      </c>
      <c r="E162" s="281">
        <v>2930</v>
      </c>
      <c r="F162" s="281">
        <v>4500</v>
      </c>
      <c r="G162" s="281">
        <v>5325</v>
      </c>
      <c r="I162" s="776"/>
      <c r="J162" s="776"/>
    </row>
    <row r="163" spans="2:10" ht="18" customHeight="1">
      <c r="B163" s="74"/>
      <c r="C163" s="74" t="s">
        <v>350</v>
      </c>
      <c r="D163" s="33" t="s">
        <v>323</v>
      </c>
      <c r="E163" s="281">
        <v>2750</v>
      </c>
      <c r="F163" s="281">
        <v>4750</v>
      </c>
      <c r="G163" s="281">
        <v>5500</v>
      </c>
      <c r="I163" s="776"/>
      <c r="J163" s="776"/>
    </row>
    <row r="164" spans="2:10" ht="18" customHeight="1">
      <c r="B164" s="74" t="s">
        <v>1519</v>
      </c>
      <c r="C164" s="74" t="s">
        <v>1188</v>
      </c>
      <c r="D164" s="33" t="s">
        <v>323</v>
      </c>
      <c r="E164" s="281">
        <v>24000</v>
      </c>
      <c r="F164" s="281">
        <v>44500</v>
      </c>
      <c r="G164" s="281">
        <v>50000</v>
      </c>
      <c r="I164" s="148"/>
      <c r="J164" s="776"/>
    </row>
    <row r="165" spans="2:10" ht="18" customHeight="1">
      <c r="B165" s="74"/>
      <c r="C165" s="74" t="s">
        <v>350</v>
      </c>
      <c r="D165" s="33" t="s">
        <v>323</v>
      </c>
      <c r="E165" s="281">
        <v>23100</v>
      </c>
      <c r="F165" s="281">
        <v>40000</v>
      </c>
      <c r="G165" s="281">
        <v>49000</v>
      </c>
      <c r="I165" s="776"/>
      <c r="J165" s="776"/>
    </row>
    <row r="166" spans="2:10" ht="18" customHeight="1">
      <c r="B166" s="592" t="s">
        <v>1018</v>
      </c>
      <c r="C166" s="74" t="s">
        <v>1188</v>
      </c>
      <c r="D166" s="33" t="s">
        <v>323</v>
      </c>
      <c r="E166" s="281">
        <v>8600</v>
      </c>
      <c r="F166" s="281">
        <v>10000</v>
      </c>
      <c r="G166" s="281">
        <v>11500</v>
      </c>
      <c r="I166" s="776"/>
      <c r="J166" s="148"/>
    </row>
    <row r="167" spans="2:10" ht="18" customHeight="1">
      <c r="B167" s="74"/>
      <c r="C167" s="74" t="s">
        <v>350</v>
      </c>
      <c r="D167" s="33" t="s">
        <v>323</v>
      </c>
      <c r="E167" s="281">
        <v>8700</v>
      </c>
      <c r="F167" s="281">
        <v>9250</v>
      </c>
      <c r="G167" s="281">
        <v>13375</v>
      </c>
      <c r="I167" s="776"/>
      <c r="J167" s="776"/>
    </row>
    <row r="168" spans="2:10" ht="18" customHeight="1">
      <c r="B168" s="592" t="s">
        <v>1019</v>
      </c>
      <c r="C168" s="74" t="s">
        <v>1188</v>
      </c>
      <c r="D168" s="981" t="s">
        <v>323</v>
      </c>
      <c r="E168" s="983" t="s">
        <v>906</v>
      </c>
      <c r="F168" s="983">
        <v>9000</v>
      </c>
      <c r="G168" s="983">
        <v>6800</v>
      </c>
      <c r="I168" s="776"/>
      <c r="J168" s="776"/>
    </row>
    <row r="169" spans="2:10" ht="18" customHeight="1">
      <c r="B169" s="883"/>
      <c r="C169" s="75" t="s">
        <v>350</v>
      </c>
      <c r="D169" s="980" t="s">
        <v>323</v>
      </c>
      <c r="E169" s="562" t="s">
        <v>906</v>
      </c>
      <c r="F169" s="562" t="s">
        <v>906</v>
      </c>
      <c r="G169" s="283">
        <v>7000</v>
      </c>
      <c r="I169" s="776"/>
      <c r="J169" s="776"/>
    </row>
    <row r="170" spans="2:10" ht="15" customHeight="1">
      <c r="B170" s="99" t="s">
        <v>673</v>
      </c>
      <c r="C170" s="266"/>
      <c r="D170" s="266"/>
      <c r="E170" s="765"/>
      <c r="F170" s="786"/>
      <c r="G170" s="786" t="s">
        <v>711</v>
      </c>
      <c r="H170" s="782"/>
      <c r="I170" s="776"/>
      <c r="J170" s="776"/>
    </row>
    <row r="171" spans="2:10">
      <c r="D171" s="18"/>
      <c r="E171" s="272"/>
      <c r="I171" s="776"/>
      <c r="J171" s="776"/>
    </row>
    <row r="172" spans="2:10">
      <c r="E172" s="517"/>
      <c r="I172" s="776"/>
      <c r="J172" s="776"/>
    </row>
    <row r="173" spans="2:10">
      <c r="I173" s="776"/>
      <c r="J173" s="776"/>
    </row>
    <row r="174" spans="2:10">
      <c r="I174" s="148"/>
      <c r="J174" s="776"/>
    </row>
    <row r="175" spans="2:10">
      <c r="I175" s="148"/>
      <c r="J175" s="776"/>
    </row>
    <row r="176" spans="2:10">
      <c r="I176" s="776"/>
      <c r="J176" s="148"/>
    </row>
    <row r="177" spans="9:10">
      <c r="I177" s="776"/>
      <c r="J177" s="148"/>
    </row>
    <row r="178" spans="9:10">
      <c r="I178" s="776"/>
      <c r="J178" s="776"/>
    </row>
    <row r="179" spans="9:10">
      <c r="I179" s="776"/>
      <c r="J179" s="776"/>
    </row>
    <row r="180" spans="9:10">
      <c r="I180" s="776"/>
      <c r="J180" s="776"/>
    </row>
    <row r="181" spans="9:10">
      <c r="I181" s="776"/>
      <c r="J181" s="776"/>
    </row>
    <row r="182" spans="9:10">
      <c r="I182" s="776"/>
      <c r="J182" s="776"/>
    </row>
    <row r="183" spans="9:10">
      <c r="I183" s="776"/>
      <c r="J183" s="776"/>
    </row>
    <row r="184" spans="9:10">
      <c r="I184" s="776"/>
      <c r="J184" s="776"/>
    </row>
    <row r="185" spans="9:10">
      <c r="I185" s="776"/>
      <c r="J185" s="776"/>
    </row>
    <row r="186" spans="9:10">
      <c r="I186" s="776"/>
      <c r="J186" s="776"/>
    </row>
    <row r="187" spans="9:10">
      <c r="J187" s="776"/>
    </row>
    <row r="188" spans="9:10">
      <c r="J188" s="776"/>
    </row>
  </sheetData>
  <mergeCells count="23">
    <mergeCell ref="B86:G86"/>
    <mergeCell ref="B43:G43"/>
    <mergeCell ref="B44:B45"/>
    <mergeCell ref="C44:C45"/>
    <mergeCell ref="B152:B153"/>
    <mergeCell ref="B132:G132"/>
    <mergeCell ref="B87:B88"/>
    <mergeCell ref="C87:C88"/>
    <mergeCell ref="B133:B134"/>
    <mergeCell ref="C133:C134"/>
    <mergeCell ref="D133:D134"/>
    <mergeCell ref="E133:G133"/>
    <mergeCell ref="D87:D88"/>
    <mergeCell ref="E87:G87"/>
    <mergeCell ref="E44:G44"/>
    <mergeCell ref="B30:B31"/>
    <mergeCell ref="D44:D45"/>
    <mergeCell ref="B1:F1"/>
    <mergeCell ref="E3:G3"/>
    <mergeCell ref="B3:B4"/>
    <mergeCell ref="C3:C4"/>
    <mergeCell ref="D3:D4"/>
    <mergeCell ref="B2:G2"/>
  </mergeCells>
  <phoneticPr fontId="0" type="noConversion"/>
  <conditionalFormatting sqref="D171:D65537 D100:D169 A1:D99 A100:C65537 E1:IV1048576">
    <cfRule type="cellIs" dxfId="6" priority="1" stopIfTrue="1" operator="equal">
      <formula>".."</formula>
    </cfRule>
  </conditionalFormatting>
  <printOptions horizontalCentered="1"/>
  <pageMargins left="0" right="0" top="0.64" bottom="0.1" header="0.8" footer="0.1"/>
  <pageSetup paperSize="9" orientation="portrait" r:id="rId1"/>
  <headerFooter alignWithMargins="0"/>
  <rowBreaks count="3" manualBreakCount="3">
    <brk id="42" max="16383" man="1"/>
    <brk id="85" max="16383" man="1"/>
    <brk id="130" max="16383" man="1"/>
  </rowBreaks>
</worksheet>
</file>

<file path=xl/worksheets/sheet66.xml><?xml version="1.0" encoding="utf-8"?>
<worksheet xmlns="http://schemas.openxmlformats.org/spreadsheetml/2006/main" xmlns:r="http://schemas.openxmlformats.org/officeDocument/2006/relationships">
  <sheetPr codeName="Sheet78"/>
  <dimension ref="B1:P38"/>
  <sheetViews>
    <sheetView workbookViewId="0">
      <selection activeCell="O6" sqref="O6"/>
    </sheetView>
  </sheetViews>
  <sheetFormatPr defaultRowHeight="12.75"/>
  <cols>
    <col min="1" max="1" width="1.28515625" style="172" customWidth="1"/>
    <col min="2" max="6" width="13.7109375" style="172" customWidth="1"/>
    <col min="7" max="7" width="14.85546875" style="172" customWidth="1"/>
    <col min="8" max="16384" width="9.140625" style="172"/>
  </cols>
  <sheetData>
    <row r="1" spans="2:16" ht="13.5" customHeight="1">
      <c r="B1" s="1181" t="s">
        <v>1563</v>
      </c>
      <c r="C1" s="1183"/>
      <c r="D1" s="1183"/>
      <c r="E1" s="1183"/>
      <c r="F1" s="1183"/>
      <c r="G1" s="1183"/>
    </row>
    <row r="2" spans="2:16" s="206" customFormat="1" ht="18" customHeight="1">
      <c r="B2" s="1235" t="str">
        <f>CONCATENATE("Regulated Market by category in the district of ",District!$A$1)</f>
        <v>Regulated Market by category in the district of Bankura</v>
      </c>
      <c r="C2" s="1235"/>
      <c r="D2" s="1235"/>
      <c r="E2" s="1235"/>
      <c r="F2" s="1235"/>
      <c r="G2" s="1235"/>
    </row>
    <row r="3" spans="2:16" ht="12.75" customHeight="1">
      <c r="B3" s="206"/>
      <c r="C3" s="288"/>
      <c r="D3" s="206"/>
      <c r="E3" s="206"/>
      <c r="F3" s="206"/>
      <c r="G3" s="219" t="s">
        <v>452</v>
      </c>
    </row>
    <row r="4" spans="2:16" ht="25.5" customHeight="1">
      <c r="B4" s="1509" t="s">
        <v>1477</v>
      </c>
      <c r="C4" s="1510"/>
      <c r="D4" s="1258" t="s">
        <v>1360</v>
      </c>
      <c r="E4" s="1260"/>
      <c r="F4" s="1259" t="s">
        <v>248</v>
      </c>
      <c r="G4" s="1260"/>
    </row>
    <row r="5" spans="2:16" ht="15" customHeight="1">
      <c r="B5" s="1511" t="s">
        <v>418</v>
      </c>
      <c r="C5" s="1512"/>
      <c r="D5" s="1201" t="s">
        <v>419</v>
      </c>
      <c r="E5" s="1257"/>
      <c r="F5" s="1201" t="s">
        <v>420</v>
      </c>
      <c r="G5" s="1257"/>
    </row>
    <row r="6" spans="2:16" ht="25.5" customHeight="1">
      <c r="B6" s="1513" t="s">
        <v>1478</v>
      </c>
      <c r="C6" s="1514"/>
      <c r="D6" s="1375">
        <v>1</v>
      </c>
      <c r="E6" s="1376"/>
      <c r="F6" s="1186">
        <v>21</v>
      </c>
      <c r="G6" s="1184"/>
      <c r="K6"/>
      <c r="L6"/>
      <c r="M6"/>
      <c r="N6"/>
      <c r="O6"/>
      <c r="P6"/>
    </row>
    <row r="7" spans="2:16" ht="25.5" customHeight="1">
      <c r="B7" s="1516" t="s">
        <v>1110</v>
      </c>
      <c r="C7" s="1517"/>
      <c r="D7" s="1188">
        <v>1</v>
      </c>
      <c r="E7" s="1200"/>
      <c r="F7" s="1188">
        <v>21</v>
      </c>
      <c r="G7" s="1200"/>
      <c r="K7"/>
      <c r="L7"/>
      <c r="M7"/>
      <c r="N7"/>
      <c r="O7"/>
      <c r="P7"/>
    </row>
    <row r="8" spans="2:16" ht="25.5" customHeight="1">
      <c r="B8" s="1516" t="s">
        <v>493</v>
      </c>
      <c r="C8" s="1517"/>
      <c r="D8" s="1188">
        <v>1</v>
      </c>
      <c r="E8" s="1200"/>
      <c r="F8" s="1188">
        <v>21</v>
      </c>
      <c r="G8" s="1200"/>
      <c r="K8"/>
      <c r="L8"/>
      <c r="M8"/>
      <c r="N8"/>
      <c r="O8"/>
      <c r="P8"/>
    </row>
    <row r="9" spans="2:16" ht="25.5" customHeight="1">
      <c r="B9" s="1516" t="s">
        <v>1479</v>
      </c>
      <c r="C9" s="1517"/>
      <c r="D9" s="1188">
        <v>3</v>
      </c>
      <c r="E9" s="1200"/>
      <c r="F9" s="1188">
        <v>21</v>
      </c>
      <c r="G9" s="1200"/>
      <c r="K9"/>
      <c r="L9"/>
      <c r="M9"/>
      <c r="N9"/>
      <c r="O9"/>
      <c r="P9"/>
    </row>
    <row r="10" spans="2:16" ht="25.5" customHeight="1">
      <c r="B10" s="1518" t="s">
        <v>1711</v>
      </c>
      <c r="C10" s="1519"/>
      <c r="D10" s="1218">
        <v>3</v>
      </c>
      <c r="E10" s="1218"/>
      <c r="F10" s="1242">
        <v>21</v>
      </c>
      <c r="G10" s="1185"/>
    </row>
    <row r="11" spans="2:16" ht="14.1" customHeight="1">
      <c r="B11" s="940"/>
      <c r="C11" s="171"/>
      <c r="D11" s="189"/>
      <c r="E11" s="189"/>
      <c r="F11" s="189"/>
      <c r="G11" s="703" t="s">
        <v>859</v>
      </c>
    </row>
    <row r="12" spans="2:16" ht="14.1" customHeight="1">
      <c r="B12" s="24"/>
      <c r="C12" s="24"/>
      <c r="D12" s="189"/>
      <c r="E12" s="189"/>
      <c r="F12" s="189"/>
      <c r="G12" s="18"/>
    </row>
    <row r="13" spans="2:16" ht="14.1" customHeight="1">
      <c r="B13" s="24"/>
      <c r="C13" s="24"/>
      <c r="D13" s="189"/>
      <c r="E13" s="189"/>
      <c r="F13" s="189"/>
      <c r="G13" s="18"/>
    </row>
    <row r="14" spans="2:16" ht="15.75" customHeight="1">
      <c r="B14" s="1181" t="s">
        <v>1562</v>
      </c>
      <c r="C14" s="1181"/>
      <c r="D14" s="1181"/>
      <c r="E14" s="1181"/>
      <c r="F14" s="1181"/>
      <c r="G14" s="1181"/>
    </row>
    <row r="15" spans="2:16" s="206" customFormat="1" ht="33.75" customHeight="1">
      <c r="B15" s="1235" t="str">
        <f>CONCATENATE("Consumer Price Index Numbers for Families of  all Expenditure 
Groups Combined in the district of ",District!$A$1)</f>
        <v>Consumer Price Index Numbers for Families of  all Expenditure 
Groups Combined in the district of Bankura</v>
      </c>
      <c r="C15" s="1235"/>
      <c r="D15" s="1235"/>
      <c r="E15" s="1235"/>
      <c r="F15" s="1235"/>
      <c r="G15" s="1235"/>
    </row>
    <row r="16" spans="2:16" ht="12.75" customHeight="1">
      <c r="B16" s="1515" t="s">
        <v>519</v>
      </c>
      <c r="C16" s="1515"/>
      <c r="G16" s="524" t="s">
        <v>724</v>
      </c>
    </row>
    <row r="17" spans="2:8" ht="15" customHeight="1">
      <c r="B17" s="1186" t="s">
        <v>688</v>
      </c>
      <c r="C17" s="1187"/>
      <c r="D17" s="1184"/>
      <c r="E17" s="1186" t="s">
        <v>249</v>
      </c>
      <c r="F17" s="1187"/>
      <c r="G17" s="1184"/>
    </row>
    <row r="18" spans="2:8" ht="15" customHeight="1">
      <c r="B18" s="1242"/>
      <c r="C18" s="1218"/>
      <c r="D18" s="1185"/>
      <c r="E18" s="1242"/>
      <c r="F18" s="1218"/>
      <c r="G18" s="1185"/>
    </row>
    <row r="19" spans="2:8" ht="15" customHeight="1">
      <c r="B19" s="1201" t="s">
        <v>418</v>
      </c>
      <c r="C19" s="1202"/>
      <c r="D19" s="1257"/>
      <c r="E19" s="1201" t="s">
        <v>419</v>
      </c>
      <c r="F19" s="1202"/>
      <c r="G19" s="1257"/>
    </row>
    <row r="20" spans="2:8" ht="21" customHeight="1">
      <c r="B20" s="1393">
        <v>2011</v>
      </c>
      <c r="C20" s="1524"/>
      <c r="D20" s="1394"/>
      <c r="E20" s="1526">
        <v>150.5</v>
      </c>
      <c r="F20" s="1526"/>
      <c r="G20" s="1527"/>
    </row>
    <row r="21" spans="2:8" ht="21" customHeight="1">
      <c r="B21" s="1525">
        <v>2012</v>
      </c>
      <c r="C21" s="1526"/>
      <c r="D21" s="1527"/>
      <c r="E21" s="1528">
        <v>166.88333333333333</v>
      </c>
      <c r="F21" s="1526"/>
      <c r="G21" s="1527"/>
    </row>
    <row r="22" spans="2:8" ht="21" customHeight="1">
      <c r="B22" s="1525">
        <v>2013</v>
      </c>
      <c r="C22" s="1526"/>
      <c r="D22" s="1527"/>
      <c r="E22" s="1528">
        <v>179.4</v>
      </c>
      <c r="F22" s="1526"/>
      <c r="G22" s="1527"/>
    </row>
    <row r="23" spans="2:8" ht="21" customHeight="1">
      <c r="B23" s="1407">
        <v>2014</v>
      </c>
      <c r="C23" s="1421"/>
      <c r="D23" s="1408"/>
      <c r="E23" s="1531">
        <f>AVERAGE(E25:G36)</f>
        <v>194.50000000000003</v>
      </c>
      <c r="F23" s="1531"/>
      <c r="G23" s="1532"/>
    </row>
    <row r="24" spans="2:8" ht="16.5" customHeight="1">
      <c r="B24" s="1305" t="str">
        <f>"Year : " &amp; B23</f>
        <v>Year : 2014</v>
      </c>
      <c r="C24" s="1368"/>
      <c r="D24" s="1368"/>
      <c r="E24" s="1368"/>
      <c r="F24" s="1368"/>
      <c r="G24" s="1369"/>
      <c r="H24" s="307"/>
    </row>
    <row r="25" spans="2:8" ht="22.5" customHeight="1">
      <c r="B25" s="1186" t="s">
        <v>427</v>
      </c>
      <c r="C25" s="1187"/>
      <c r="D25" s="1184"/>
      <c r="E25" s="1520">
        <v>186.8</v>
      </c>
      <c r="F25" s="1521"/>
      <c r="G25" s="1522"/>
    </row>
    <row r="26" spans="2:8" ht="22.5" customHeight="1">
      <c r="B26" s="1188" t="s">
        <v>428</v>
      </c>
      <c r="C26" s="1183"/>
      <c r="D26" s="1200"/>
      <c r="E26" s="1410">
        <v>186.9</v>
      </c>
      <c r="F26" s="1523"/>
      <c r="G26" s="1411"/>
    </row>
    <row r="27" spans="2:8" ht="22.5" customHeight="1">
      <c r="B27" s="1188" t="s">
        <v>429</v>
      </c>
      <c r="C27" s="1183"/>
      <c r="D27" s="1200"/>
      <c r="E27" s="1410">
        <v>187.1</v>
      </c>
      <c r="F27" s="1523"/>
      <c r="G27" s="1411"/>
    </row>
    <row r="28" spans="2:8" ht="22.5" customHeight="1">
      <c r="B28" s="1188" t="s">
        <v>430</v>
      </c>
      <c r="C28" s="1183"/>
      <c r="D28" s="1200"/>
      <c r="E28" s="1410">
        <v>187.6</v>
      </c>
      <c r="F28" s="1523"/>
      <c r="G28" s="1411"/>
    </row>
    <row r="29" spans="2:8" ht="22.5" customHeight="1">
      <c r="B29" s="1188" t="s">
        <v>431</v>
      </c>
      <c r="C29" s="1183"/>
      <c r="D29" s="1200"/>
      <c r="E29" s="1410">
        <v>190.1</v>
      </c>
      <c r="F29" s="1523"/>
      <c r="G29" s="1411"/>
    </row>
    <row r="30" spans="2:8" ht="22.5" customHeight="1">
      <c r="B30" s="1188" t="s">
        <v>432</v>
      </c>
      <c r="C30" s="1183"/>
      <c r="D30" s="1200"/>
      <c r="E30" s="1410">
        <v>195.2</v>
      </c>
      <c r="F30" s="1523"/>
      <c r="G30" s="1411"/>
    </row>
    <row r="31" spans="2:8" ht="22.5" customHeight="1">
      <c r="B31" s="1188" t="s">
        <v>433</v>
      </c>
      <c r="C31" s="1183"/>
      <c r="D31" s="1200"/>
      <c r="E31" s="1419">
        <v>197.7</v>
      </c>
      <c r="F31" s="1529"/>
      <c r="G31" s="1420"/>
    </row>
    <row r="32" spans="2:8" ht="22.5" customHeight="1">
      <c r="B32" s="1188" t="s">
        <v>434</v>
      </c>
      <c r="C32" s="1183"/>
      <c r="D32" s="1200"/>
      <c r="E32" s="1419">
        <v>198.7</v>
      </c>
      <c r="F32" s="1529"/>
      <c r="G32" s="1420"/>
    </row>
    <row r="33" spans="2:7" ht="22.5" customHeight="1">
      <c r="B33" s="1188" t="s">
        <v>435</v>
      </c>
      <c r="C33" s="1183"/>
      <c r="D33" s="1200"/>
      <c r="E33" s="1419">
        <v>199.5</v>
      </c>
      <c r="F33" s="1529"/>
      <c r="G33" s="1420"/>
    </row>
    <row r="34" spans="2:7" ht="22.5" customHeight="1">
      <c r="B34" s="1188" t="s">
        <v>436</v>
      </c>
      <c r="C34" s="1183"/>
      <c r="D34" s="1200"/>
      <c r="E34" s="1419">
        <v>200.5</v>
      </c>
      <c r="F34" s="1529"/>
      <c r="G34" s="1420"/>
    </row>
    <row r="35" spans="2:7" ht="22.5" customHeight="1">
      <c r="B35" s="1188" t="s">
        <v>437</v>
      </c>
      <c r="C35" s="1183"/>
      <c r="D35" s="1200"/>
      <c r="E35" s="1419">
        <v>201</v>
      </c>
      <c r="F35" s="1529"/>
      <c r="G35" s="1420"/>
    </row>
    <row r="36" spans="2:7" ht="22.5" customHeight="1">
      <c r="B36" s="1242" t="s">
        <v>438</v>
      </c>
      <c r="C36" s="1218"/>
      <c r="D36" s="1185"/>
      <c r="E36" s="1423">
        <v>202.9</v>
      </c>
      <c r="F36" s="1530"/>
      <c r="G36" s="1424"/>
    </row>
    <row r="37" spans="2:7" ht="13.5" customHeight="1">
      <c r="B37" s="717"/>
      <c r="F37" s="589"/>
      <c r="G37" s="715" t="s">
        <v>865</v>
      </c>
    </row>
    <row r="38" spans="2:7" ht="13.5" customHeight="1">
      <c r="B38" s="751"/>
    </row>
  </sheetData>
  <mergeCells count="63">
    <mergeCell ref="B35:D35"/>
    <mergeCell ref="B36:D36"/>
    <mergeCell ref="E35:G35"/>
    <mergeCell ref="E36:G36"/>
    <mergeCell ref="B21:D21"/>
    <mergeCell ref="E21:G21"/>
    <mergeCell ref="B23:D23"/>
    <mergeCell ref="E23:G23"/>
    <mergeCell ref="E33:G33"/>
    <mergeCell ref="E34:G34"/>
    <mergeCell ref="B33:D33"/>
    <mergeCell ref="B34:D34"/>
    <mergeCell ref="B31:D31"/>
    <mergeCell ref="B32:D32"/>
    <mergeCell ref="E31:G31"/>
    <mergeCell ref="E32:G32"/>
    <mergeCell ref="B22:D22"/>
    <mergeCell ref="E20:G20"/>
    <mergeCell ref="E22:G22"/>
    <mergeCell ref="B24:G24"/>
    <mergeCell ref="E17:G18"/>
    <mergeCell ref="B17:D18"/>
    <mergeCell ref="F7:G7"/>
    <mergeCell ref="F8:G8"/>
    <mergeCell ref="B19:D19"/>
    <mergeCell ref="E19:G19"/>
    <mergeCell ref="B20:D20"/>
    <mergeCell ref="B29:D29"/>
    <mergeCell ref="B30:D30"/>
    <mergeCell ref="E25:G25"/>
    <mergeCell ref="E26:G26"/>
    <mergeCell ref="E27:G27"/>
    <mergeCell ref="E28:G28"/>
    <mergeCell ref="E29:G29"/>
    <mergeCell ref="E30:G30"/>
    <mergeCell ref="B25:D25"/>
    <mergeCell ref="B26:D26"/>
    <mergeCell ref="B27:D27"/>
    <mergeCell ref="B28:D28"/>
    <mergeCell ref="B6:C6"/>
    <mergeCell ref="B15:G15"/>
    <mergeCell ref="B16:C16"/>
    <mergeCell ref="D6:E6"/>
    <mergeCell ref="F6:G6"/>
    <mergeCell ref="D8:E8"/>
    <mergeCell ref="B7:C7"/>
    <mergeCell ref="B8:C8"/>
    <mergeCell ref="D7:E7"/>
    <mergeCell ref="F9:G9"/>
    <mergeCell ref="F10:G10"/>
    <mergeCell ref="D9:E9"/>
    <mergeCell ref="B14:G14"/>
    <mergeCell ref="B9:C9"/>
    <mergeCell ref="B10:C10"/>
    <mergeCell ref="D10:E10"/>
    <mergeCell ref="B1:G1"/>
    <mergeCell ref="B2:G2"/>
    <mergeCell ref="B4:C4"/>
    <mergeCell ref="B5:C5"/>
    <mergeCell ref="F4:G4"/>
    <mergeCell ref="F5:G5"/>
    <mergeCell ref="D4:E4"/>
    <mergeCell ref="D5:E5"/>
  </mergeCells>
  <phoneticPr fontId="0" type="noConversion"/>
  <printOptions horizontalCentered="1"/>
  <pageMargins left="0.1" right="0.1" top="0.75" bottom="0.1" header="0.75" footer="0.1"/>
  <pageSetup paperSize="9" orientation="portrait" blackAndWhite="1" r:id="rId1"/>
  <headerFooter alignWithMargins="0"/>
</worksheet>
</file>

<file path=xl/worksheets/sheet67.xml><?xml version="1.0" encoding="utf-8"?>
<worksheet xmlns="http://schemas.openxmlformats.org/spreadsheetml/2006/main" xmlns:r="http://schemas.openxmlformats.org/officeDocument/2006/relationships">
  <sheetPr codeName="Sheet56"/>
  <dimension ref="B1:G40"/>
  <sheetViews>
    <sheetView workbookViewId="0">
      <selection activeCell="M30" sqref="M30"/>
    </sheetView>
  </sheetViews>
  <sheetFormatPr defaultRowHeight="12.75"/>
  <cols>
    <col min="1" max="1" width="0.7109375" style="172" customWidth="1"/>
    <col min="2" max="2" width="15.140625" style="172" customWidth="1"/>
    <col min="3" max="7" width="14.28515625" style="172" customWidth="1"/>
    <col min="8" max="16384" width="9.140625" style="172"/>
  </cols>
  <sheetData>
    <row r="1" spans="2:7" ht="13.5" customHeight="1">
      <c r="B1" s="1229" t="s">
        <v>1556</v>
      </c>
      <c r="C1" s="1229"/>
      <c r="D1" s="1229"/>
      <c r="E1" s="1229"/>
      <c r="F1" s="1229"/>
      <c r="G1" s="1229"/>
    </row>
    <row r="2" spans="2:7" s="206" customFormat="1" ht="33" customHeight="1">
      <c r="B2" s="1235" t="str">
        <f>CONCATENATE("Consumer Price Index Numbers for Industrial Workers 
in the district of ",District!$A$1)</f>
        <v>Consumer Price Index Numbers for Industrial Workers 
in the district of Bankura</v>
      </c>
      <c r="C2" s="1235"/>
      <c r="D2" s="1235"/>
      <c r="E2" s="1235"/>
      <c r="F2" s="1235"/>
      <c r="G2" s="1235"/>
    </row>
    <row r="3" spans="2:7" s="587" customFormat="1" ht="14.25" customHeight="1">
      <c r="B3" s="16" t="s">
        <v>1659</v>
      </c>
      <c r="G3" s="585" t="s">
        <v>403</v>
      </c>
    </row>
    <row r="4" spans="2:7" ht="18.75" customHeight="1">
      <c r="B4" s="944" t="s">
        <v>1362</v>
      </c>
      <c r="C4" s="1129">
        <v>2009</v>
      </c>
      <c r="D4" s="1130">
        <v>2010</v>
      </c>
      <c r="E4" s="1129">
        <v>2011</v>
      </c>
      <c r="F4" s="1129">
        <v>2012</v>
      </c>
      <c r="G4" s="1129">
        <v>2013</v>
      </c>
    </row>
    <row r="5" spans="2:7" ht="17.25" customHeight="1">
      <c r="B5" s="945" t="s">
        <v>418</v>
      </c>
      <c r="C5" s="1131" t="s">
        <v>419</v>
      </c>
      <c r="D5" s="1132" t="s">
        <v>420</v>
      </c>
      <c r="E5" s="1131" t="s">
        <v>421</v>
      </c>
      <c r="F5" s="1132" t="s">
        <v>422</v>
      </c>
      <c r="G5" s="1131" t="s">
        <v>423</v>
      </c>
    </row>
    <row r="6" spans="2:7" ht="24.75" customHeight="1">
      <c r="B6" s="942" t="s">
        <v>427</v>
      </c>
      <c r="C6" s="831">
        <v>590</v>
      </c>
      <c r="D6" s="842">
        <v>770</v>
      </c>
      <c r="E6" s="831">
        <v>831</v>
      </c>
      <c r="F6" s="820">
        <v>849</v>
      </c>
      <c r="G6" s="820">
        <v>854</v>
      </c>
    </row>
    <row r="7" spans="2:7" ht="24.75" customHeight="1">
      <c r="B7" s="76" t="s">
        <v>428</v>
      </c>
      <c r="C7" s="831">
        <v>612</v>
      </c>
      <c r="D7" s="842">
        <v>764</v>
      </c>
      <c r="E7" s="831">
        <v>830</v>
      </c>
      <c r="F7" s="831">
        <v>838</v>
      </c>
      <c r="G7" s="831">
        <v>861</v>
      </c>
    </row>
    <row r="8" spans="2:7" ht="24.75" customHeight="1">
      <c r="B8" s="76" t="s">
        <v>429</v>
      </c>
      <c r="C8" s="831">
        <v>619</v>
      </c>
      <c r="D8" s="842">
        <v>770</v>
      </c>
      <c r="E8" s="831">
        <v>831</v>
      </c>
      <c r="F8" s="831">
        <v>848</v>
      </c>
      <c r="G8" s="831">
        <v>863</v>
      </c>
    </row>
    <row r="9" spans="2:7" ht="24.75" customHeight="1">
      <c r="B9" s="76" t="s">
        <v>430</v>
      </c>
      <c r="C9" s="831">
        <v>618</v>
      </c>
      <c r="D9" s="842">
        <v>768</v>
      </c>
      <c r="E9" s="831">
        <v>819</v>
      </c>
      <c r="F9" s="831">
        <v>835</v>
      </c>
      <c r="G9" s="831">
        <v>871</v>
      </c>
    </row>
    <row r="10" spans="2:7" ht="24.75" customHeight="1">
      <c r="B10" s="76" t="s">
        <v>431</v>
      </c>
      <c r="C10" s="831">
        <v>623</v>
      </c>
      <c r="D10" s="842">
        <v>776</v>
      </c>
      <c r="E10" s="831">
        <v>826</v>
      </c>
      <c r="F10" s="831">
        <v>840</v>
      </c>
      <c r="G10" s="831">
        <v>877</v>
      </c>
    </row>
    <row r="11" spans="2:7" ht="24.75" customHeight="1">
      <c r="B11" s="76" t="s">
        <v>432</v>
      </c>
      <c r="C11" s="831">
        <v>641</v>
      </c>
      <c r="D11" s="842">
        <v>772</v>
      </c>
      <c r="E11" s="831">
        <v>828</v>
      </c>
      <c r="F11" s="831">
        <v>845</v>
      </c>
      <c r="G11" s="831">
        <v>880</v>
      </c>
    </row>
    <row r="12" spans="2:7" ht="24.75" customHeight="1">
      <c r="B12" s="76" t="s">
        <v>433</v>
      </c>
      <c r="C12" s="831">
        <v>677</v>
      </c>
      <c r="D12" s="842">
        <v>780</v>
      </c>
      <c r="E12" s="831">
        <v>824</v>
      </c>
      <c r="F12" s="831">
        <v>862</v>
      </c>
      <c r="G12" s="831">
        <v>885</v>
      </c>
    </row>
    <row r="13" spans="2:7" ht="24.75" customHeight="1">
      <c r="B13" s="76" t="s">
        <v>434</v>
      </c>
      <c r="C13" s="831">
        <v>705</v>
      </c>
      <c r="D13" s="842">
        <v>800</v>
      </c>
      <c r="E13" s="831">
        <v>831</v>
      </c>
      <c r="F13" s="831">
        <v>866</v>
      </c>
      <c r="G13" s="831">
        <v>898</v>
      </c>
    </row>
    <row r="14" spans="2:7" ht="24.75" customHeight="1">
      <c r="B14" s="76" t="s">
        <v>435</v>
      </c>
      <c r="C14" s="831">
        <v>714</v>
      </c>
      <c r="D14" s="842">
        <v>811</v>
      </c>
      <c r="E14" s="831">
        <v>826</v>
      </c>
      <c r="F14" s="831">
        <v>874</v>
      </c>
      <c r="G14" s="831">
        <v>905</v>
      </c>
    </row>
    <row r="15" spans="2:7" ht="24.75" customHeight="1">
      <c r="B15" s="76" t="s">
        <v>436</v>
      </c>
      <c r="C15" s="831">
        <v>719</v>
      </c>
      <c r="D15" s="842">
        <v>783</v>
      </c>
      <c r="E15" s="831">
        <v>826</v>
      </c>
      <c r="F15" s="831">
        <v>887</v>
      </c>
      <c r="G15" s="831">
        <v>923</v>
      </c>
    </row>
    <row r="16" spans="2:7" ht="24.75" customHeight="1">
      <c r="B16" s="76" t="s">
        <v>437</v>
      </c>
      <c r="C16" s="831">
        <v>736</v>
      </c>
      <c r="D16" s="842">
        <v>787</v>
      </c>
      <c r="E16" s="831">
        <v>831</v>
      </c>
      <c r="F16" s="831">
        <v>899</v>
      </c>
      <c r="G16" s="831">
        <v>929</v>
      </c>
    </row>
    <row r="17" spans="2:7" ht="24.75" customHeight="1">
      <c r="B17" s="568" t="s">
        <v>438</v>
      </c>
      <c r="C17" s="831">
        <v>751</v>
      </c>
      <c r="D17" s="842">
        <v>819</v>
      </c>
      <c r="E17" s="831">
        <v>832</v>
      </c>
      <c r="F17" s="845">
        <v>895</v>
      </c>
      <c r="G17" s="831">
        <v>912</v>
      </c>
    </row>
    <row r="18" spans="2:7" ht="21" customHeight="1">
      <c r="B18" s="946" t="s">
        <v>1363</v>
      </c>
      <c r="C18" s="1117">
        <f>AVERAGE(C6:C17)</f>
        <v>667.08333333333337</v>
      </c>
      <c r="D18" s="1117">
        <f>AVERAGE(D6:D17)</f>
        <v>783.33333333333337</v>
      </c>
      <c r="E18" s="1117">
        <f>AVERAGE(E6:E17)</f>
        <v>827.91666666666663</v>
      </c>
      <c r="F18" s="588">
        <f>AVERAGE(F6:F17)</f>
        <v>861.5</v>
      </c>
      <c r="G18" s="588">
        <f>AVERAGE(G6:G17)</f>
        <v>888.16666666666663</v>
      </c>
    </row>
    <row r="19" spans="2:7">
      <c r="G19" s="703" t="s">
        <v>712</v>
      </c>
    </row>
    <row r="20" spans="2:7">
      <c r="C20" s="219"/>
      <c r="D20" s="2"/>
      <c r="E20" s="2"/>
    </row>
    <row r="21" spans="2:7">
      <c r="C21" s="219"/>
      <c r="D21" s="2"/>
      <c r="E21" s="2"/>
    </row>
    <row r="22" spans="2:7">
      <c r="C22" s="219"/>
      <c r="D22" s="2"/>
      <c r="E22" s="2"/>
    </row>
    <row r="23" spans="2:7" ht="13.5" customHeight="1">
      <c r="B23" s="1181" t="s">
        <v>1557</v>
      </c>
      <c r="C23" s="1181"/>
      <c r="D23" s="1181"/>
      <c r="E23" s="1181"/>
      <c r="F23" s="1181"/>
      <c r="G23" s="1181"/>
    </row>
    <row r="24" spans="2:7" s="206" customFormat="1" ht="33.75" customHeight="1">
      <c r="B24" s="1235" t="str">
        <f>CONCATENATE("Progress of Statutory and Modified Ration Shops
in the district of ",District!$A$1)</f>
        <v>Progress of Statutory and Modified Ration Shops
in the district of Bankura</v>
      </c>
      <c r="C24" s="1235"/>
      <c r="D24" s="1235"/>
      <c r="E24" s="1235"/>
      <c r="F24" s="1235"/>
      <c r="G24" s="1235"/>
    </row>
    <row r="25" spans="2:7" ht="13.5" customHeight="1">
      <c r="B25" s="206"/>
      <c r="C25" s="206"/>
      <c r="D25" s="206"/>
      <c r="E25" s="206"/>
      <c r="F25" s="206"/>
      <c r="G25" s="219" t="s">
        <v>452</v>
      </c>
    </row>
    <row r="26" spans="2:7" ht="27.75" customHeight="1">
      <c r="B26" s="1464" t="s">
        <v>622</v>
      </c>
      <c r="C26" s="1533"/>
      <c r="D26" s="1186" t="s">
        <v>1387</v>
      </c>
      <c r="E26" s="1184"/>
      <c r="F26" s="1187" t="s">
        <v>1364</v>
      </c>
      <c r="G26" s="1184"/>
    </row>
    <row r="27" spans="2:7" ht="21" customHeight="1">
      <c r="B27" s="1201" t="s">
        <v>418</v>
      </c>
      <c r="C27" s="1202"/>
      <c r="D27" s="1201" t="s">
        <v>419</v>
      </c>
      <c r="E27" s="1257"/>
      <c r="F27" s="1202" t="s">
        <v>420</v>
      </c>
      <c r="G27" s="1257"/>
    </row>
    <row r="28" spans="2:7" ht="21.95" customHeight="1">
      <c r="B28" s="1186">
        <f>District!C16</f>
        <v>2010</v>
      </c>
      <c r="C28" s="1184"/>
      <c r="D28" s="1393" t="s">
        <v>1127</v>
      </c>
      <c r="E28" s="1394"/>
      <c r="F28" s="1186">
        <v>1210</v>
      </c>
      <c r="G28" s="1184"/>
    </row>
    <row r="29" spans="2:7" ht="21.95" customHeight="1">
      <c r="B29" s="1188">
        <f>District!C17</f>
        <v>2011</v>
      </c>
      <c r="C29" s="1200"/>
      <c r="D29" s="1188" t="s">
        <v>1127</v>
      </c>
      <c r="E29" s="1200"/>
      <c r="F29" s="1188">
        <v>1203</v>
      </c>
      <c r="G29" s="1200"/>
    </row>
    <row r="30" spans="2:7" ht="21.95" customHeight="1">
      <c r="B30" s="1188">
        <f>District!C18</f>
        <v>2012</v>
      </c>
      <c r="C30" s="1200"/>
      <c r="D30" s="1188" t="s">
        <v>1127</v>
      </c>
      <c r="E30" s="1527"/>
      <c r="F30" s="1188">
        <v>1197</v>
      </c>
      <c r="G30" s="1200"/>
    </row>
    <row r="31" spans="2:7" ht="21.95" customHeight="1">
      <c r="B31" s="1188">
        <f>District!C19</f>
        <v>2013</v>
      </c>
      <c r="C31" s="1183"/>
      <c r="D31" s="1188" t="s">
        <v>1127</v>
      </c>
      <c r="E31" s="1527"/>
      <c r="F31" s="1200" t="s">
        <v>1221</v>
      </c>
      <c r="G31" s="1200"/>
    </row>
    <row r="32" spans="2:7" ht="21.95" customHeight="1">
      <c r="B32" s="1242">
        <f>District!C20</f>
        <v>2014</v>
      </c>
      <c r="C32" s="1185"/>
      <c r="D32" s="1242" t="s">
        <v>1127</v>
      </c>
      <c r="E32" s="1408"/>
      <c r="F32" s="1242">
        <v>1178</v>
      </c>
      <c r="G32" s="1185"/>
    </row>
    <row r="33" spans="2:7" ht="13.5" customHeight="1">
      <c r="B33" s="651" t="s">
        <v>1222</v>
      </c>
      <c r="D33" s="722" t="s">
        <v>610</v>
      </c>
      <c r="E33" s="737" t="s">
        <v>860</v>
      </c>
      <c r="G33" s="477"/>
    </row>
    <row r="34" spans="2:7" ht="13.5" customHeight="1">
      <c r="D34" s="651"/>
      <c r="E34" s="749" t="s">
        <v>880</v>
      </c>
      <c r="G34" s="195"/>
    </row>
    <row r="35" spans="2:7" ht="13.5" customHeight="1">
      <c r="D35" s="651"/>
      <c r="E35" s="745" t="s">
        <v>259</v>
      </c>
      <c r="G35" s="537"/>
    </row>
    <row r="36" spans="2:7" ht="18" customHeight="1"/>
    <row r="37" spans="2:7">
      <c r="D37"/>
      <c r="E37"/>
      <c r="F37"/>
      <c r="G37"/>
    </row>
    <row r="38" spans="2:7">
      <c r="D38"/>
      <c r="E38"/>
      <c r="F38"/>
      <c r="G38"/>
    </row>
    <row r="39" spans="2:7">
      <c r="D39"/>
      <c r="E39"/>
      <c r="F39"/>
      <c r="G39"/>
    </row>
    <row r="40" spans="2:7">
      <c r="D40"/>
      <c r="E40"/>
      <c r="F40"/>
      <c r="G40"/>
    </row>
  </sheetData>
  <mergeCells count="25">
    <mergeCell ref="B1:G1"/>
    <mergeCell ref="B32:C32"/>
    <mergeCell ref="D32:E32"/>
    <mergeCell ref="F32:G32"/>
    <mergeCell ref="B2:G2"/>
    <mergeCell ref="B23:G23"/>
    <mergeCell ref="F27:G27"/>
    <mergeCell ref="D27:E27"/>
    <mergeCell ref="B24:G24"/>
    <mergeCell ref="F26:G26"/>
    <mergeCell ref="B26:C26"/>
    <mergeCell ref="B29:C29"/>
    <mergeCell ref="B27:C27"/>
    <mergeCell ref="B28:C28"/>
    <mergeCell ref="D26:E26"/>
    <mergeCell ref="F29:G29"/>
    <mergeCell ref="F28:G28"/>
    <mergeCell ref="F31:G31"/>
    <mergeCell ref="B31:C31"/>
    <mergeCell ref="D28:E28"/>
    <mergeCell ref="D29:E29"/>
    <mergeCell ref="D30:E30"/>
    <mergeCell ref="D31:E31"/>
    <mergeCell ref="B30:C30"/>
    <mergeCell ref="F30:G30"/>
  </mergeCells>
  <phoneticPr fontId="0" type="noConversion"/>
  <printOptions horizontalCentered="1"/>
  <pageMargins left="0.1" right="0.1" top="0.95" bottom="0.1" header="0.36" footer="0.1"/>
  <pageSetup paperSize="9" orientation="portrait" r:id="rId1"/>
  <headerFooter alignWithMargins="0"/>
</worksheet>
</file>

<file path=xl/worksheets/sheet68.xml><?xml version="1.0" encoding="utf-8"?>
<worksheet xmlns="http://schemas.openxmlformats.org/spreadsheetml/2006/main" xmlns:r="http://schemas.openxmlformats.org/officeDocument/2006/relationships">
  <sheetPr codeName="Sheet82"/>
  <dimension ref="A1:P52"/>
  <sheetViews>
    <sheetView workbookViewId="0">
      <selection activeCell="P11" sqref="P11"/>
    </sheetView>
  </sheetViews>
  <sheetFormatPr defaultRowHeight="12.75"/>
  <cols>
    <col min="1" max="1" width="13.42578125" style="172" customWidth="1"/>
    <col min="2" max="2" width="12.85546875" style="172" customWidth="1"/>
    <col min="3" max="13" width="9.7109375" style="172" customWidth="1"/>
    <col min="14" max="16384" width="9.140625" style="172"/>
  </cols>
  <sheetData>
    <row r="1" spans="1:16" ht="13.5" customHeight="1">
      <c r="A1" s="1181" t="s">
        <v>1558</v>
      </c>
      <c r="B1" s="1181"/>
      <c r="C1" s="1181"/>
      <c r="D1" s="1181"/>
      <c r="E1" s="1181"/>
      <c r="F1" s="1181"/>
      <c r="G1" s="1181"/>
      <c r="H1" s="1181"/>
      <c r="I1" s="1181"/>
      <c r="J1" s="1181"/>
      <c r="K1" s="1181"/>
      <c r="L1" s="1181"/>
      <c r="M1" s="1181"/>
    </row>
    <row r="2" spans="1:16" s="206" customFormat="1" ht="18" customHeight="1">
      <c r="A2" s="1235" t="str">
        <f>CONCATENATE("Length of Roads maintained by P.W.D., Zilla Parishad &amp; Panchayat in the district of ",District!$A$1)</f>
        <v>Length of Roads maintained by P.W.D., Zilla Parishad &amp; Panchayat in the district of Bankura</v>
      </c>
      <c r="B2" s="1235"/>
      <c r="C2" s="1235"/>
      <c r="D2" s="1235"/>
      <c r="E2" s="1235"/>
      <c r="F2" s="1235"/>
      <c r="G2" s="1235"/>
      <c r="H2" s="1235"/>
      <c r="I2" s="1235"/>
      <c r="J2" s="1235"/>
      <c r="K2" s="1235"/>
      <c r="L2" s="1235"/>
      <c r="M2" s="1235"/>
    </row>
    <row r="3" spans="1:16" ht="14.25" customHeight="1">
      <c r="A3" s="206"/>
      <c r="B3" s="289"/>
      <c r="C3" s="289"/>
      <c r="D3" s="289"/>
      <c r="E3" s="289"/>
      <c r="F3" s="289"/>
      <c r="G3" s="288"/>
      <c r="H3" s="206"/>
      <c r="I3" s="585"/>
      <c r="M3" s="585" t="s">
        <v>1365</v>
      </c>
    </row>
    <row r="4" spans="1:16" ht="27.75" customHeight="1">
      <c r="A4" s="1258" t="s">
        <v>304</v>
      </c>
      <c r="B4" s="1237" t="s">
        <v>1366</v>
      </c>
      <c r="C4" s="1239"/>
      <c r="D4" s="1238"/>
      <c r="E4" s="1237" t="s">
        <v>1367</v>
      </c>
      <c r="F4" s="1239"/>
      <c r="G4" s="1238"/>
      <c r="H4" s="1237" t="s">
        <v>1541</v>
      </c>
      <c r="I4" s="1239"/>
      <c r="J4" s="1238"/>
      <c r="K4" s="1239" t="s">
        <v>1268</v>
      </c>
      <c r="L4" s="1191"/>
      <c r="M4" s="1192"/>
    </row>
    <row r="5" spans="1:16" ht="27.75" customHeight="1">
      <c r="A5" s="1264"/>
      <c r="B5" s="586" t="s">
        <v>405</v>
      </c>
      <c r="C5" s="791" t="s">
        <v>114</v>
      </c>
      <c r="D5" s="518" t="s">
        <v>439</v>
      </c>
      <c r="E5" s="586" t="s">
        <v>405</v>
      </c>
      <c r="F5" s="791" t="s">
        <v>114</v>
      </c>
      <c r="G5" s="586" t="s">
        <v>439</v>
      </c>
      <c r="H5" s="586" t="s">
        <v>405</v>
      </c>
      <c r="I5" s="791" t="s">
        <v>114</v>
      </c>
      <c r="J5" s="518" t="s">
        <v>439</v>
      </c>
      <c r="K5" s="586" t="s">
        <v>405</v>
      </c>
      <c r="L5" s="791" t="s">
        <v>114</v>
      </c>
      <c r="M5" s="518" t="s">
        <v>439</v>
      </c>
    </row>
    <row r="6" spans="1:16" ht="17.25" customHeight="1">
      <c r="A6" s="311" t="s">
        <v>418</v>
      </c>
      <c r="B6" s="213" t="s">
        <v>419</v>
      </c>
      <c r="C6" s="213" t="s">
        <v>420</v>
      </c>
      <c r="D6" s="214" t="s">
        <v>421</v>
      </c>
      <c r="E6" s="181" t="s">
        <v>422</v>
      </c>
      <c r="F6" s="181" t="s">
        <v>423</v>
      </c>
      <c r="G6" s="181" t="s">
        <v>424</v>
      </c>
      <c r="H6" s="181" t="s">
        <v>440</v>
      </c>
      <c r="I6" s="181" t="s">
        <v>441</v>
      </c>
      <c r="J6" s="182" t="s">
        <v>442</v>
      </c>
      <c r="K6" s="181" t="s">
        <v>443</v>
      </c>
      <c r="L6" s="181" t="s">
        <v>537</v>
      </c>
      <c r="M6" s="182" t="s">
        <v>538</v>
      </c>
    </row>
    <row r="7" spans="1:16" ht="24.95" customHeight="1">
      <c r="A7" s="1105" t="str">
        <f>District!B16</f>
        <v>2009-10</v>
      </c>
      <c r="B7" s="645">
        <v>1186</v>
      </c>
      <c r="C7" s="645">
        <v>16</v>
      </c>
      <c r="D7" s="629">
        <v>1202</v>
      </c>
      <c r="E7" s="815">
        <v>635.91</v>
      </c>
      <c r="F7" s="645">
        <v>493.96</v>
      </c>
      <c r="G7" s="643">
        <v>1129.8699999999999</v>
      </c>
      <c r="H7" s="645">
        <v>224.23</v>
      </c>
      <c r="I7" s="513">
        <v>7487</v>
      </c>
      <c r="J7" s="629">
        <v>7711.23</v>
      </c>
      <c r="K7" s="513">
        <v>727.98</v>
      </c>
      <c r="L7" s="646" t="s">
        <v>1127</v>
      </c>
      <c r="M7" s="788">
        <v>727.98</v>
      </c>
    </row>
    <row r="8" spans="1:16" ht="24.95" customHeight="1">
      <c r="A8" s="1106" t="str">
        <f>District!B17</f>
        <v>2010-11</v>
      </c>
      <c r="B8" s="343">
        <v>1189</v>
      </c>
      <c r="C8" s="343">
        <v>15</v>
      </c>
      <c r="D8" s="1109">
        <v>1204</v>
      </c>
      <c r="E8" s="166">
        <v>651.95000000000005</v>
      </c>
      <c r="F8" s="343">
        <v>478.02</v>
      </c>
      <c r="G8" s="72">
        <v>1129.97</v>
      </c>
      <c r="H8" s="343">
        <v>242.23</v>
      </c>
      <c r="I8" s="167">
        <v>7629</v>
      </c>
      <c r="J8" s="70">
        <v>7871.23</v>
      </c>
      <c r="K8" s="167">
        <v>830.2</v>
      </c>
      <c r="L8" s="77" t="s">
        <v>1127</v>
      </c>
      <c r="M8" s="62">
        <v>830.2</v>
      </c>
    </row>
    <row r="9" spans="1:16" ht="24.95" customHeight="1">
      <c r="A9" s="1106" t="str">
        <f>District!B18</f>
        <v>2011-12</v>
      </c>
      <c r="B9" s="343">
        <v>1160</v>
      </c>
      <c r="C9" s="343" t="s">
        <v>1127</v>
      </c>
      <c r="D9" s="1109" t="s">
        <v>1287</v>
      </c>
      <c r="E9" s="166">
        <v>714.54</v>
      </c>
      <c r="F9" s="343">
        <v>449.98</v>
      </c>
      <c r="G9" s="72">
        <v>1164.52</v>
      </c>
      <c r="H9" s="343">
        <v>246.15</v>
      </c>
      <c r="I9" s="167">
        <v>8007</v>
      </c>
      <c r="J9" s="70">
        <v>8253.15</v>
      </c>
      <c r="K9" s="167">
        <v>876.71</v>
      </c>
      <c r="L9" s="77" t="s">
        <v>1127</v>
      </c>
      <c r="M9" s="62">
        <v>876.71</v>
      </c>
    </row>
    <row r="10" spans="1:16" ht="24.95" customHeight="1">
      <c r="A10" s="1106" t="str">
        <f>District!B19</f>
        <v>2012-13</v>
      </c>
      <c r="B10" s="343" t="s">
        <v>906</v>
      </c>
      <c r="C10" s="343" t="s">
        <v>906</v>
      </c>
      <c r="D10" s="1109" t="s">
        <v>906</v>
      </c>
      <c r="E10" s="166">
        <v>719.23</v>
      </c>
      <c r="F10" s="343">
        <v>398.02</v>
      </c>
      <c r="G10" s="72">
        <f>SUM(E10:F10)</f>
        <v>1117.25</v>
      </c>
      <c r="H10" s="343">
        <v>267.95</v>
      </c>
      <c r="I10" s="167">
        <v>8250</v>
      </c>
      <c r="J10" s="70">
        <f>SUM(H10:I10)</f>
        <v>8517.9500000000007</v>
      </c>
      <c r="K10" s="167">
        <v>946.17</v>
      </c>
      <c r="L10" s="77" t="s">
        <v>1127</v>
      </c>
      <c r="M10" s="62">
        <f>IF(SUM(K10:L10)=0,"..",SUM(K10:L10))</f>
        <v>946.17</v>
      </c>
    </row>
    <row r="11" spans="1:16" ht="24.95" customHeight="1">
      <c r="A11" s="1107" t="str">
        <f>District!B20</f>
        <v>2013-14</v>
      </c>
      <c r="B11" s="514">
        <v>988.04</v>
      </c>
      <c r="C11" s="1111" t="s">
        <v>1127</v>
      </c>
      <c r="D11" s="71">
        <f>SUM(B11:C11)</f>
        <v>988.04</v>
      </c>
      <c r="E11" s="164">
        <v>472.69</v>
      </c>
      <c r="F11" s="514">
        <v>96.02</v>
      </c>
      <c r="G11" s="642">
        <f>SUM(E11:F11)</f>
        <v>568.71</v>
      </c>
      <c r="H11" s="514">
        <v>338.68</v>
      </c>
      <c r="I11" s="165">
        <v>8385</v>
      </c>
      <c r="J11" s="71">
        <f>SUM(H11:I11)</f>
        <v>8723.68</v>
      </c>
      <c r="K11" s="165">
        <v>1358.2</v>
      </c>
      <c r="L11" s="116" t="s">
        <v>1127</v>
      </c>
      <c r="M11" s="584">
        <f>IF(SUM(K11:L11)=0,"..",SUM(K11:L11))</f>
        <v>1358.2</v>
      </c>
    </row>
    <row r="12" spans="1:16" ht="12.75" customHeight="1">
      <c r="A12" s="1534" t="s">
        <v>516</v>
      </c>
      <c r="B12" s="1534"/>
      <c r="C12" s="1534"/>
      <c r="D12" s="1534"/>
      <c r="J12" s="752" t="s">
        <v>520</v>
      </c>
      <c r="K12" s="707" t="s">
        <v>250</v>
      </c>
      <c r="P12" s="177"/>
    </row>
    <row r="13" spans="1:16">
      <c r="A13" s="1534"/>
      <c r="B13" s="1534"/>
      <c r="C13" s="1534"/>
      <c r="D13" s="1534"/>
      <c r="E13" s="1112"/>
      <c r="G13" s="267"/>
      <c r="I13" s="267"/>
      <c r="J13" s="707"/>
      <c r="K13" s="707" t="s">
        <v>359</v>
      </c>
      <c r="P13" s="177"/>
    </row>
    <row r="14" spans="1:16">
      <c r="A14" s="1113" t="s">
        <v>1701</v>
      </c>
      <c r="B14" s="1108"/>
      <c r="C14" s="1108"/>
      <c r="D14" s="1108"/>
      <c r="G14" s="718"/>
      <c r="J14" s="651"/>
      <c r="K14" s="651" t="s">
        <v>251</v>
      </c>
    </row>
    <row r="15" spans="1:16">
      <c r="A15" s="1104" t="s">
        <v>1702</v>
      </c>
      <c r="B15" s="266"/>
      <c r="F15" s="651"/>
      <c r="J15" s="651"/>
      <c r="K15" s="651" t="s">
        <v>252</v>
      </c>
    </row>
    <row r="16" spans="1:16">
      <c r="G16" s="2"/>
      <c r="H16" s="2"/>
      <c r="I16" s="2"/>
    </row>
    <row r="17" spans="1:12" ht="13.5" customHeight="1">
      <c r="B17" s="1229" t="s">
        <v>1559</v>
      </c>
      <c r="C17" s="1229"/>
      <c r="D17" s="1229"/>
      <c r="E17" s="1229"/>
      <c r="F17" s="1229"/>
      <c r="G17" s="1229"/>
      <c r="H17" s="1229"/>
      <c r="I17" s="1229"/>
      <c r="J17" s="1229"/>
      <c r="K17" s="1229"/>
      <c r="L17" s="1229"/>
    </row>
    <row r="18" spans="1:12" s="206" customFormat="1" ht="18" customHeight="1">
      <c r="B18" s="1535" t="str">
        <f>CONCATENATE("Length of different classes of Roads maintained by P.W.D. in the district of ",District!$A$1)</f>
        <v>Length of different classes of Roads maintained by P.W.D. in the district of Bankura</v>
      </c>
      <c r="C18" s="1535"/>
      <c r="D18" s="1535"/>
      <c r="E18" s="1535"/>
      <c r="F18" s="1535"/>
      <c r="G18" s="1535"/>
      <c r="H18" s="1535"/>
      <c r="I18" s="1535"/>
      <c r="J18" s="1535"/>
      <c r="K18" s="1535"/>
      <c r="L18" s="1535"/>
    </row>
    <row r="19" spans="1:12" ht="13.5" customHeight="1">
      <c r="A19" s="206"/>
      <c r="B19" s="206"/>
      <c r="C19" s="206"/>
      <c r="D19" s="206"/>
      <c r="E19" s="206"/>
      <c r="F19" s="206"/>
      <c r="G19" s="206"/>
      <c r="H19" s="206"/>
      <c r="I19" s="206"/>
      <c r="J19" s="206"/>
      <c r="L19" s="18" t="s">
        <v>1365</v>
      </c>
    </row>
    <row r="20" spans="1:12" ht="18" customHeight="1">
      <c r="B20" s="117" t="s">
        <v>304</v>
      </c>
      <c r="C20" s="1193" t="s">
        <v>1372</v>
      </c>
      <c r="D20" s="1192"/>
      <c r="E20" s="1193" t="s">
        <v>1373</v>
      </c>
      <c r="F20" s="1192"/>
      <c r="G20" s="1193" t="s">
        <v>1374</v>
      </c>
      <c r="H20" s="1192"/>
      <c r="I20" s="1193" t="s">
        <v>1375</v>
      </c>
      <c r="J20" s="1192"/>
      <c r="K20" s="1193" t="s">
        <v>439</v>
      </c>
      <c r="L20" s="1192"/>
    </row>
    <row r="21" spans="1:12" ht="18" customHeight="1">
      <c r="B21" s="221" t="s">
        <v>418</v>
      </c>
      <c r="C21" s="1201" t="s">
        <v>419</v>
      </c>
      <c r="D21" s="1257"/>
      <c r="E21" s="1201" t="s">
        <v>420</v>
      </c>
      <c r="F21" s="1257"/>
      <c r="G21" s="1201" t="s">
        <v>421</v>
      </c>
      <c r="H21" s="1257"/>
      <c r="I21" s="1201" t="s">
        <v>422</v>
      </c>
      <c r="J21" s="1257"/>
      <c r="K21" s="1201" t="s">
        <v>423</v>
      </c>
      <c r="L21" s="1257"/>
    </row>
    <row r="22" spans="1:12" ht="22.5" customHeight="1">
      <c r="B22" s="814" t="str">
        <f>District!B16</f>
        <v>2009-10</v>
      </c>
      <c r="C22" s="1186" t="s">
        <v>906</v>
      </c>
      <c r="D22" s="1184"/>
      <c r="E22" s="1186" t="s">
        <v>906</v>
      </c>
      <c r="F22" s="1184"/>
      <c r="G22" s="1186" t="s">
        <v>906</v>
      </c>
      <c r="H22" s="1184"/>
      <c r="I22" s="1186" t="s">
        <v>906</v>
      </c>
      <c r="J22" s="1184"/>
      <c r="K22" s="1186">
        <v>1202</v>
      </c>
      <c r="L22" s="1184"/>
    </row>
    <row r="23" spans="1:12" ht="22.5" customHeight="1">
      <c r="B23" s="226" t="str">
        <f>District!B17</f>
        <v>2010-11</v>
      </c>
      <c r="C23" s="1188" t="s">
        <v>906</v>
      </c>
      <c r="D23" s="1200"/>
      <c r="E23" s="1188" t="s">
        <v>906</v>
      </c>
      <c r="F23" s="1200"/>
      <c r="G23" s="1188" t="s">
        <v>906</v>
      </c>
      <c r="H23" s="1200"/>
      <c r="I23" s="1188" t="s">
        <v>906</v>
      </c>
      <c r="J23" s="1183"/>
      <c r="K23" s="1188">
        <v>1204</v>
      </c>
      <c r="L23" s="1200"/>
    </row>
    <row r="24" spans="1:12" ht="22.5" customHeight="1">
      <c r="B24" s="226" t="str">
        <f>District!B18</f>
        <v>2011-12</v>
      </c>
      <c r="C24" s="1188" t="s">
        <v>906</v>
      </c>
      <c r="D24" s="1200"/>
      <c r="E24" s="1188" t="s">
        <v>906</v>
      </c>
      <c r="F24" s="1200"/>
      <c r="G24" s="1188" t="s">
        <v>906</v>
      </c>
      <c r="H24" s="1200"/>
      <c r="I24" s="1188" t="s">
        <v>906</v>
      </c>
      <c r="J24" s="1183"/>
      <c r="K24" s="1188">
        <v>1160</v>
      </c>
      <c r="L24" s="1200"/>
    </row>
    <row r="25" spans="1:12" ht="22.5" customHeight="1">
      <c r="B25" s="226" t="str">
        <f>District!B19</f>
        <v>2012-13</v>
      </c>
      <c r="C25" s="1188" t="s">
        <v>906</v>
      </c>
      <c r="D25" s="1200"/>
      <c r="E25" s="1188" t="s">
        <v>906</v>
      </c>
      <c r="F25" s="1200"/>
      <c r="G25" s="1188" t="s">
        <v>906</v>
      </c>
      <c r="H25" s="1200"/>
      <c r="I25" s="1188" t="s">
        <v>906</v>
      </c>
      <c r="J25" s="1200"/>
      <c r="K25" s="1188" t="s">
        <v>906</v>
      </c>
      <c r="L25" s="1200"/>
    </row>
    <row r="26" spans="1:12" ht="22.5" customHeight="1">
      <c r="B26" s="463" t="str">
        <f>District!B20</f>
        <v>2013-14</v>
      </c>
      <c r="C26" s="1242">
        <v>125</v>
      </c>
      <c r="D26" s="1185"/>
      <c r="E26" s="1242">
        <v>372</v>
      </c>
      <c r="F26" s="1185"/>
      <c r="G26" s="1242">
        <v>582</v>
      </c>
      <c r="H26" s="1185"/>
      <c r="I26" s="1242">
        <v>30</v>
      </c>
      <c r="J26" s="1185"/>
      <c r="K26" s="1242">
        <f>SUM(C26:J26)</f>
        <v>1109</v>
      </c>
      <c r="L26" s="1185"/>
    </row>
    <row r="27" spans="1:12">
      <c r="K27" s="25"/>
      <c r="L27" s="722" t="s">
        <v>253</v>
      </c>
    </row>
    <row r="28" spans="1:12">
      <c r="I28" s="25"/>
      <c r="J28" s="25"/>
      <c r="K28" s="25"/>
    </row>
    <row r="29" spans="1:12" ht="17.25" customHeight="1">
      <c r="C29"/>
      <c r="D29"/>
      <c r="E29"/>
      <c r="F29"/>
      <c r="G29"/>
      <c r="H29"/>
      <c r="I29"/>
      <c r="J29"/>
      <c r="K29"/>
      <c r="L29"/>
    </row>
    <row r="30" spans="1:12" ht="13.5" customHeight="1">
      <c r="C30"/>
      <c r="D30"/>
      <c r="E30"/>
      <c r="F30"/>
      <c r="G30"/>
      <c r="H30"/>
      <c r="I30"/>
      <c r="J30"/>
      <c r="K30"/>
      <c r="L30"/>
    </row>
    <row r="31" spans="1:12" ht="20.100000000000001" customHeight="1">
      <c r="C31"/>
      <c r="D31"/>
      <c r="E31"/>
      <c r="F31"/>
      <c r="G31"/>
      <c r="H31"/>
      <c r="I31"/>
      <c r="J31"/>
      <c r="K31"/>
      <c r="L31"/>
    </row>
    <row r="32" spans="1:12" ht="20.100000000000001" customHeight="1">
      <c r="C32"/>
      <c r="D32"/>
      <c r="E32"/>
      <c r="F32"/>
      <c r="G32"/>
      <c r="H32"/>
      <c r="I32"/>
      <c r="J32"/>
      <c r="K32"/>
      <c r="L32"/>
    </row>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6" ht="39.75" customHeight="1"/>
    <row r="47" ht="15" customHeight="1"/>
    <row r="48" ht="15" customHeight="1"/>
    <row r="49" ht="15" customHeight="1"/>
    <row r="50" ht="15" customHeight="1"/>
    <row r="51" ht="15" customHeight="1"/>
    <row r="52" ht="15" customHeight="1"/>
  </sheetData>
  <mergeCells count="45">
    <mergeCell ref="B4:D4"/>
    <mergeCell ref="C24:D24"/>
    <mergeCell ref="E26:F26"/>
    <mergeCell ref="E24:F24"/>
    <mergeCell ref="G24:H24"/>
    <mergeCell ref="G25:H25"/>
    <mergeCell ref="C25:D25"/>
    <mergeCell ref="C26:D26"/>
    <mergeCell ref="K20:L20"/>
    <mergeCell ref="C22:D22"/>
    <mergeCell ref="C23:D23"/>
    <mergeCell ref="C21:D21"/>
    <mergeCell ref="C20:D20"/>
    <mergeCell ref="K24:L24"/>
    <mergeCell ref="K25:L25"/>
    <mergeCell ref="K22:L22"/>
    <mergeCell ref="K23:L23"/>
    <mergeCell ref="A1:M1"/>
    <mergeCell ref="G20:H20"/>
    <mergeCell ref="I20:J20"/>
    <mergeCell ref="A2:M2"/>
    <mergeCell ref="E4:G4"/>
    <mergeCell ref="A12:D13"/>
    <mergeCell ref="H4:J4"/>
    <mergeCell ref="K4:M4"/>
    <mergeCell ref="B18:L18"/>
    <mergeCell ref="B17:L17"/>
    <mergeCell ref="A4:A5"/>
    <mergeCell ref="E20:F20"/>
    <mergeCell ref="K26:L26"/>
    <mergeCell ref="E21:F21"/>
    <mergeCell ref="G22:H22"/>
    <mergeCell ref="G23:H23"/>
    <mergeCell ref="E25:F25"/>
    <mergeCell ref="G26:H26"/>
    <mergeCell ref="I22:J22"/>
    <mergeCell ref="I26:J26"/>
    <mergeCell ref="I21:J21"/>
    <mergeCell ref="G21:H21"/>
    <mergeCell ref="I23:J23"/>
    <mergeCell ref="I24:J24"/>
    <mergeCell ref="I25:J25"/>
    <mergeCell ref="E22:F22"/>
    <mergeCell ref="E23:F23"/>
    <mergeCell ref="K21:L21"/>
  </mergeCells>
  <phoneticPr fontId="0" type="noConversion"/>
  <conditionalFormatting sqref="C33:L65536 M1:IV1048576 I1:L28 C16:H28 B15:G15 B1:H14 B16:B1048576 A1:A1048576">
    <cfRule type="cellIs" dxfId="5" priority="1" stopIfTrue="1" operator="equal">
      <formula>".."</formula>
    </cfRule>
  </conditionalFormatting>
  <printOptions horizontalCentered="1" verticalCentered="1"/>
  <pageMargins left="0.1" right="0.1" top="0.1" bottom="0.1" header="0.7" footer="0.1"/>
  <pageSetup paperSize="9" orientation="landscape" blackAndWhite="1" r:id="rId1"/>
  <headerFooter alignWithMargins="0"/>
</worksheet>
</file>

<file path=xl/worksheets/sheet69.xml><?xml version="1.0" encoding="utf-8"?>
<worksheet xmlns="http://schemas.openxmlformats.org/spreadsheetml/2006/main" xmlns:r="http://schemas.openxmlformats.org/officeDocument/2006/relationships">
  <sheetPr codeName="Sheet57"/>
  <dimension ref="A1:N30"/>
  <sheetViews>
    <sheetView topLeftCell="B1" workbookViewId="0">
      <selection activeCell="Q7" sqref="Q7"/>
    </sheetView>
  </sheetViews>
  <sheetFormatPr defaultRowHeight="12.75"/>
  <cols>
    <col min="1" max="1" width="0.5703125" style="172" hidden="1" customWidth="1"/>
    <col min="2" max="2" width="13.140625" style="172" customWidth="1"/>
    <col min="3" max="12" width="12" style="172" customWidth="1"/>
    <col min="13" max="16384" width="9.140625" style="172"/>
  </cols>
  <sheetData>
    <row r="1" spans="2:14" ht="18" customHeight="1">
      <c r="B1" s="1229" t="s">
        <v>1560</v>
      </c>
      <c r="C1" s="1229"/>
      <c r="D1" s="1229"/>
      <c r="E1" s="1229"/>
      <c r="F1" s="1229"/>
      <c r="G1" s="1229"/>
      <c r="H1" s="1229"/>
      <c r="I1" s="1229"/>
      <c r="J1" s="1229"/>
      <c r="K1" s="1229"/>
      <c r="L1" s="1229"/>
    </row>
    <row r="2" spans="2:14" s="206" customFormat="1" ht="16.5">
      <c r="B2" s="1535" t="str">
        <f>CONCATENATE("Length of Roads maintained by Municipalities in the district of ",District!$A$1)</f>
        <v>Length of Roads maintained by Municipalities in the district of Bankura</v>
      </c>
      <c r="C2" s="1535"/>
      <c r="D2" s="1535"/>
      <c r="E2" s="1535"/>
      <c r="F2" s="1535"/>
      <c r="G2" s="1535"/>
      <c r="H2" s="1535"/>
      <c r="I2" s="1535"/>
      <c r="J2" s="1535"/>
      <c r="K2" s="1535"/>
      <c r="L2" s="1535"/>
    </row>
    <row r="3" spans="2:14" ht="16.5">
      <c r="B3" s="565"/>
      <c r="C3" s="565"/>
      <c r="D3" s="565"/>
      <c r="E3" s="565"/>
      <c r="F3" s="565"/>
      <c r="G3" s="565"/>
      <c r="H3" s="565"/>
      <c r="I3" s="565"/>
      <c r="J3" s="565"/>
      <c r="K3" s="565"/>
      <c r="L3" s="18" t="s">
        <v>1365</v>
      </c>
    </row>
    <row r="4" spans="2:14" ht="15" customHeight="1">
      <c r="B4" s="1193" t="s">
        <v>304</v>
      </c>
      <c r="C4" s="1192"/>
      <c r="D4" s="1228" t="s">
        <v>405</v>
      </c>
      <c r="E4" s="1228"/>
      <c r="F4" s="1228"/>
      <c r="G4" s="1228" t="s">
        <v>410</v>
      </c>
      <c r="H4" s="1228"/>
      <c r="I4" s="1228"/>
      <c r="J4" s="1228" t="s">
        <v>439</v>
      </c>
      <c r="K4" s="1228"/>
      <c r="L4" s="1228"/>
    </row>
    <row r="5" spans="2:14" ht="15" customHeight="1">
      <c r="B5" s="1537" t="s">
        <v>418</v>
      </c>
      <c r="C5" s="1537"/>
      <c r="D5" s="1536" t="s">
        <v>419</v>
      </c>
      <c r="E5" s="1536"/>
      <c r="F5" s="1536"/>
      <c r="G5" s="1536" t="s">
        <v>420</v>
      </c>
      <c r="H5" s="1536"/>
      <c r="I5" s="1536"/>
      <c r="J5" s="1536" t="s">
        <v>421</v>
      </c>
      <c r="K5" s="1536"/>
      <c r="L5" s="1536"/>
    </row>
    <row r="6" spans="2:14" ht="18" customHeight="1">
      <c r="B6" s="1375" t="str">
        <f>District!B16 &amp; " (I)"</f>
        <v>2009-10 (I)</v>
      </c>
      <c r="C6" s="1376"/>
      <c r="D6" s="1371">
        <v>119.86</v>
      </c>
      <c r="E6" s="1551"/>
      <c r="F6" s="1372"/>
      <c r="G6" s="1371">
        <v>95.45</v>
      </c>
      <c r="H6" s="1551"/>
      <c r="I6" s="1372"/>
      <c r="J6" s="1548">
        <f>SUM(D6,G6)</f>
        <v>215.31</v>
      </c>
      <c r="K6" s="1549"/>
      <c r="L6" s="1550"/>
    </row>
    <row r="7" spans="2:14" ht="18" customHeight="1">
      <c r="B7" s="1248" t="str">
        <f>District!B17 &amp; " (I)"</f>
        <v>2010-11 (I)</v>
      </c>
      <c r="C7" s="1409"/>
      <c r="D7" s="1373">
        <v>145.58000000000001</v>
      </c>
      <c r="E7" s="1379"/>
      <c r="F7" s="1374"/>
      <c r="G7" s="1373">
        <v>159.57</v>
      </c>
      <c r="H7" s="1379"/>
      <c r="I7" s="1374"/>
      <c r="J7" s="1545">
        <f>SUM(D7,G7)</f>
        <v>305.14999999999998</v>
      </c>
      <c r="K7" s="1546"/>
      <c r="L7" s="1547"/>
    </row>
    <row r="8" spans="2:14" ht="18" customHeight="1">
      <c r="B8" s="1248" t="str">
        <f>District!B18</f>
        <v>2011-12</v>
      </c>
      <c r="C8" s="1409"/>
      <c r="D8" s="1373">
        <v>259.58</v>
      </c>
      <c r="E8" s="1379"/>
      <c r="F8" s="1374"/>
      <c r="G8" s="1373">
        <v>189.57</v>
      </c>
      <c r="H8" s="1379"/>
      <c r="I8" s="1374"/>
      <c r="J8" s="1545">
        <f>SUM(D8,G8)</f>
        <v>449.15</v>
      </c>
      <c r="K8" s="1546"/>
      <c r="L8" s="1547"/>
    </row>
    <row r="9" spans="2:14" ht="18" customHeight="1">
      <c r="B9" s="1248" t="str">
        <f>District!B19</f>
        <v>2012-13</v>
      </c>
      <c r="C9" s="1409"/>
      <c r="D9" s="1373">
        <v>332.35</v>
      </c>
      <c r="E9" s="1379"/>
      <c r="F9" s="1374"/>
      <c r="G9" s="1373">
        <v>267.14999999999998</v>
      </c>
      <c r="H9" s="1379"/>
      <c r="I9" s="1374"/>
      <c r="J9" s="1545">
        <f>SUM(D9,G9)</f>
        <v>599.5</v>
      </c>
      <c r="K9" s="1546"/>
      <c r="L9" s="1547"/>
    </row>
    <row r="10" spans="2:14" ht="18" customHeight="1">
      <c r="B10" s="1268" t="str">
        <f>District!B20</f>
        <v>2013-14</v>
      </c>
      <c r="C10" s="1416"/>
      <c r="D10" s="1377">
        <f>SUM(D12:F14)</f>
        <v>346.4</v>
      </c>
      <c r="E10" s="1538"/>
      <c r="F10" s="1378"/>
      <c r="G10" s="1377">
        <f>SUM(G12:I14)</f>
        <v>186.91</v>
      </c>
      <c r="H10" s="1538"/>
      <c r="I10" s="1378"/>
      <c r="J10" s="1542">
        <f>D10+G10</f>
        <v>533.30999999999995</v>
      </c>
      <c r="K10" s="1543"/>
      <c r="L10" s="1544"/>
    </row>
    <row r="11" spans="2:14" ht="15" customHeight="1">
      <c r="B11" s="1242" t="s">
        <v>317</v>
      </c>
      <c r="C11" s="1185"/>
      <c r="D11" s="1539" t="str">
        <f>"Year : " &amp; LEFT(B10,7)</f>
        <v>Year : 2013-14</v>
      </c>
      <c r="E11" s="1540"/>
      <c r="F11" s="1540"/>
      <c r="G11" s="1540"/>
      <c r="H11" s="1540"/>
      <c r="I11" s="1540"/>
      <c r="J11" s="1540"/>
      <c r="K11" s="1540"/>
      <c r="L11" s="1541"/>
      <c r="N11" s="267"/>
    </row>
    <row r="12" spans="2:14" ht="21.95" customHeight="1">
      <c r="B12" s="1552" t="s">
        <v>1188</v>
      </c>
      <c r="C12" s="1553"/>
      <c r="D12" s="1373">
        <v>80.400000000000006</v>
      </c>
      <c r="E12" s="1379"/>
      <c r="F12" s="1374"/>
      <c r="G12" s="1373">
        <v>47.41</v>
      </c>
      <c r="H12" s="1379"/>
      <c r="I12" s="1379"/>
      <c r="J12" s="1548">
        <f>D12+G12</f>
        <v>127.81</v>
      </c>
      <c r="K12" s="1549"/>
      <c r="L12" s="1550"/>
    </row>
    <row r="13" spans="2:14" ht="21.95" customHeight="1">
      <c r="B13" s="1554" t="s">
        <v>649</v>
      </c>
      <c r="C13" s="1555"/>
      <c r="D13" s="1545">
        <v>210</v>
      </c>
      <c r="E13" s="1546"/>
      <c r="F13" s="1547"/>
      <c r="G13" s="1545">
        <v>108</v>
      </c>
      <c r="H13" s="1546"/>
      <c r="I13" s="1546"/>
      <c r="J13" s="1558">
        <f>D13+G13</f>
        <v>318</v>
      </c>
      <c r="K13" s="1547"/>
      <c r="L13" s="1547"/>
    </row>
    <row r="14" spans="2:14" ht="21.95" customHeight="1">
      <c r="B14" s="1556" t="s">
        <v>650</v>
      </c>
      <c r="C14" s="1557"/>
      <c r="D14" s="1377">
        <v>56</v>
      </c>
      <c r="E14" s="1538"/>
      <c r="F14" s="1378"/>
      <c r="G14" s="1377">
        <v>31.5</v>
      </c>
      <c r="H14" s="1538"/>
      <c r="I14" s="1538"/>
      <c r="J14" s="1542">
        <f>D14+G14</f>
        <v>87.5</v>
      </c>
      <c r="K14" s="1543"/>
      <c r="L14" s="1544"/>
    </row>
    <row r="15" spans="2:14">
      <c r="C15" s="2"/>
      <c r="L15" s="703" t="s">
        <v>713</v>
      </c>
    </row>
    <row r="16" spans="2:14">
      <c r="C16" s="2"/>
      <c r="L16" s="18"/>
    </row>
    <row r="17" spans="2:12">
      <c r="C17" s="2"/>
      <c r="L17" s="18"/>
    </row>
    <row r="18" spans="2:12" ht="18" customHeight="1">
      <c r="B18" s="1229" t="s">
        <v>1561</v>
      </c>
      <c r="C18" s="1229"/>
      <c r="D18" s="1229"/>
      <c r="E18" s="1229"/>
      <c r="F18" s="1229"/>
      <c r="G18" s="1229"/>
      <c r="H18" s="1229"/>
      <c r="I18" s="1229"/>
      <c r="J18" s="1229"/>
      <c r="K18" s="1229"/>
      <c r="L18" s="1229"/>
    </row>
    <row r="19" spans="2:12" s="206" customFormat="1" ht="16.5">
      <c r="B19" s="1535" t="str">
        <f>CONCATENATE("Registered Motor Vehicles in the district of ",District!$A$1)</f>
        <v>Registered Motor Vehicles in the district of Bankura</v>
      </c>
      <c r="C19" s="1535"/>
      <c r="D19" s="1535"/>
      <c r="E19" s="1535"/>
      <c r="F19" s="1535"/>
      <c r="G19" s="1535"/>
      <c r="H19" s="1535"/>
      <c r="I19" s="1535"/>
      <c r="J19" s="1535"/>
      <c r="K19" s="1535"/>
      <c r="L19" s="1535"/>
    </row>
    <row r="20" spans="2:12" ht="16.5">
      <c r="B20" s="565"/>
      <c r="C20" s="565"/>
      <c r="D20" s="565"/>
      <c r="E20" s="565"/>
      <c r="F20" s="565"/>
      <c r="G20" s="565"/>
      <c r="H20" s="565"/>
      <c r="I20" s="565"/>
      <c r="J20" s="565"/>
      <c r="K20" s="565"/>
      <c r="L20" s="18" t="s">
        <v>452</v>
      </c>
    </row>
    <row r="21" spans="2:12" ht="40.5" customHeight="1">
      <c r="B21" s="274" t="s">
        <v>1529</v>
      </c>
      <c r="C21" s="274" t="s">
        <v>1381</v>
      </c>
      <c r="D21" s="207" t="s">
        <v>1523</v>
      </c>
      <c r="E21" s="229" t="s">
        <v>1382</v>
      </c>
      <c r="F21" s="207" t="s">
        <v>1383</v>
      </c>
      <c r="G21" s="229" t="s">
        <v>1384</v>
      </c>
      <c r="H21" s="207" t="s">
        <v>1522</v>
      </c>
      <c r="I21" s="229" t="s">
        <v>1489</v>
      </c>
      <c r="J21" s="207" t="s">
        <v>79</v>
      </c>
      <c r="K21" s="220" t="s">
        <v>592</v>
      </c>
      <c r="L21" s="58" t="s">
        <v>439</v>
      </c>
    </row>
    <row r="22" spans="2:12" ht="15" customHeight="1">
      <c r="B22" s="221" t="s">
        <v>418</v>
      </c>
      <c r="C22" s="213" t="s">
        <v>419</v>
      </c>
      <c r="D22" s="213" t="s">
        <v>420</v>
      </c>
      <c r="E22" s="213" t="s">
        <v>421</v>
      </c>
      <c r="F22" s="213" t="s">
        <v>422</v>
      </c>
      <c r="G22" s="213" t="s">
        <v>423</v>
      </c>
      <c r="H22" s="213" t="s">
        <v>424</v>
      </c>
      <c r="I22" s="213" t="s">
        <v>440</v>
      </c>
      <c r="J22" s="213" t="s">
        <v>441</v>
      </c>
      <c r="K22" s="221" t="s">
        <v>442</v>
      </c>
      <c r="L22" s="213" t="s">
        <v>443</v>
      </c>
    </row>
    <row r="23" spans="2:12" ht="21.95" customHeight="1">
      <c r="B23" s="58">
        <f>District!C16</f>
        <v>2010</v>
      </c>
      <c r="C23" s="183">
        <v>4681</v>
      </c>
      <c r="D23" s="183">
        <v>2316</v>
      </c>
      <c r="E23" s="183">
        <v>75456</v>
      </c>
      <c r="F23" s="183">
        <v>726</v>
      </c>
      <c r="G23" s="183">
        <v>250</v>
      </c>
      <c r="H23" s="246">
        <v>198</v>
      </c>
      <c r="I23" s="183">
        <v>1189</v>
      </c>
      <c r="J23" s="183">
        <v>4383</v>
      </c>
      <c r="K23" s="189">
        <v>2018</v>
      </c>
      <c r="L23" s="33">
        <v>91217</v>
      </c>
    </row>
    <row r="24" spans="2:12" ht="21.95" customHeight="1">
      <c r="B24" s="29">
        <f>District!C17</f>
        <v>2011</v>
      </c>
      <c r="C24" s="183">
        <v>5346</v>
      </c>
      <c r="D24" s="183">
        <v>2886</v>
      </c>
      <c r="E24" s="183">
        <v>90348</v>
      </c>
      <c r="F24" s="183">
        <v>734</v>
      </c>
      <c r="G24" s="183">
        <v>250</v>
      </c>
      <c r="H24" s="246">
        <v>213</v>
      </c>
      <c r="I24" s="183">
        <v>1224</v>
      </c>
      <c r="J24" s="183">
        <v>5273</v>
      </c>
      <c r="K24" s="189">
        <v>2030</v>
      </c>
      <c r="L24" s="33">
        <v>108304</v>
      </c>
    </row>
    <row r="25" spans="2:12" ht="21.95" customHeight="1">
      <c r="B25" s="29">
        <f>District!C18</f>
        <v>2012</v>
      </c>
      <c r="C25" s="183">
        <v>6032</v>
      </c>
      <c r="D25" s="183">
        <v>3678</v>
      </c>
      <c r="E25" s="183">
        <v>104005</v>
      </c>
      <c r="F25" s="183">
        <v>737</v>
      </c>
      <c r="G25" s="183">
        <v>266</v>
      </c>
      <c r="H25" s="246">
        <v>222</v>
      </c>
      <c r="I25" s="183">
        <v>1267</v>
      </c>
      <c r="J25" s="183">
        <v>6101</v>
      </c>
      <c r="K25" s="189">
        <v>2131</v>
      </c>
      <c r="L25" s="33">
        <v>124439</v>
      </c>
    </row>
    <row r="26" spans="2:12" ht="21.95" customHeight="1">
      <c r="B26" s="29">
        <f>District!C19</f>
        <v>2013</v>
      </c>
      <c r="C26" s="246">
        <v>7093</v>
      </c>
      <c r="D26" s="246">
        <v>5224</v>
      </c>
      <c r="E26" s="246">
        <v>121671</v>
      </c>
      <c r="F26" s="246">
        <v>752</v>
      </c>
      <c r="G26" s="246">
        <v>266</v>
      </c>
      <c r="H26" s="246">
        <v>232</v>
      </c>
      <c r="I26" s="246">
        <v>1277</v>
      </c>
      <c r="J26" s="246">
        <v>7318</v>
      </c>
      <c r="K26" s="246">
        <v>2498</v>
      </c>
      <c r="L26" s="33">
        <f>SUM(C26:K26)</f>
        <v>146331</v>
      </c>
    </row>
    <row r="27" spans="2:12" ht="21.95" customHeight="1">
      <c r="B27" s="56">
        <f>District!C20</f>
        <v>2014</v>
      </c>
      <c r="C27" s="248">
        <v>7951</v>
      </c>
      <c r="D27" s="248">
        <v>6740</v>
      </c>
      <c r="E27" s="227">
        <v>139585</v>
      </c>
      <c r="F27" s="248">
        <v>805</v>
      </c>
      <c r="G27" s="227">
        <v>266</v>
      </c>
      <c r="H27" s="248">
        <v>235</v>
      </c>
      <c r="I27" s="227">
        <v>1323</v>
      </c>
      <c r="J27" s="248">
        <v>8650</v>
      </c>
      <c r="K27" s="227">
        <v>2931</v>
      </c>
      <c r="L27" s="41">
        <f>SUM(C27:K27)</f>
        <v>168486</v>
      </c>
    </row>
    <row r="28" spans="2:12" ht="19.5" customHeight="1">
      <c r="J28" s="296"/>
      <c r="L28" s="525" t="s">
        <v>358</v>
      </c>
    </row>
    <row r="30" spans="2:12" ht="10.5" customHeight="1"/>
  </sheetData>
  <mergeCells count="46">
    <mergeCell ref="J7:L7"/>
    <mergeCell ref="J12:L12"/>
    <mergeCell ref="D14:F14"/>
    <mergeCell ref="J13:L13"/>
    <mergeCell ref="J8:L8"/>
    <mergeCell ref="B19:L19"/>
    <mergeCell ref="B12:C12"/>
    <mergeCell ref="B13:C13"/>
    <mergeCell ref="B14:C14"/>
    <mergeCell ref="J14:L14"/>
    <mergeCell ref="G14:I14"/>
    <mergeCell ref="D12:F12"/>
    <mergeCell ref="D13:F13"/>
    <mergeCell ref="G13:I13"/>
    <mergeCell ref="G12:I12"/>
    <mergeCell ref="B18:L18"/>
    <mergeCell ref="B6:C6"/>
    <mergeCell ref="J6:L6"/>
    <mergeCell ref="G4:I4"/>
    <mergeCell ref="D6:F6"/>
    <mergeCell ref="G6:I6"/>
    <mergeCell ref="B7:C7"/>
    <mergeCell ref="G7:I7"/>
    <mergeCell ref="B11:C11"/>
    <mergeCell ref="B9:C9"/>
    <mergeCell ref="D10:F10"/>
    <mergeCell ref="B10:C10"/>
    <mergeCell ref="D9:F9"/>
    <mergeCell ref="B8:C8"/>
    <mergeCell ref="D11:L11"/>
    <mergeCell ref="J10:L10"/>
    <mergeCell ref="G10:I10"/>
    <mergeCell ref="J9:L9"/>
    <mergeCell ref="D7:F7"/>
    <mergeCell ref="G8:I8"/>
    <mergeCell ref="D8:F8"/>
    <mergeCell ref="G9:I9"/>
    <mergeCell ref="B1:L1"/>
    <mergeCell ref="J4:L4"/>
    <mergeCell ref="J5:L5"/>
    <mergeCell ref="B2:L2"/>
    <mergeCell ref="B5:C5"/>
    <mergeCell ref="G5:I5"/>
    <mergeCell ref="D4:F4"/>
    <mergeCell ref="D5:F5"/>
    <mergeCell ref="B4:C4"/>
  </mergeCells>
  <phoneticPr fontId="0" type="noConversion"/>
  <printOptions horizontalCentered="1" verticalCentered="1"/>
  <pageMargins left="0.1" right="0.1" top="0.1" bottom="0.1" header="0.66" footer="0.1"/>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sheetPr codeName="Sheet5"/>
  <dimension ref="A1:K42"/>
  <sheetViews>
    <sheetView workbookViewId="0">
      <selection activeCell="M30" sqref="M30"/>
    </sheetView>
  </sheetViews>
  <sheetFormatPr defaultRowHeight="12.75"/>
  <cols>
    <col min="1" max="1" width="16.140625" style="172" customWidth="1"/>
    <col min="2" max="11" width="11" style="172" customWidth="1"/>
    <col min="12" max="16384" width="9.140625" style="172"/>
  </cols>
  <sheetData>
    <row r="1" spans="1:11" ht="13.5" customHeight="1">
      <c r="A1" s="1181" t="s">
        <v>1607</v>
      </c>
      <c r="B1" s="1181"/>
      <c r="C1" s="1181"/>
      <c r="D1" s="1181"/>
      <c r="E1" s="1181"/>
      <c r="F1" s="1181"/>
      <c r="G1" s="1181"/>
      <c r="H1" s="1181"/>
      <c r="I1" s="1181"/>
      <c r="J1" s="1181"/>
      <c r="K1" s="1181"/>
    </row>
    <row r="2" spans="1:11" s="206" customFormat="1" ht="13.5" customHeight="1">
      <c r="A2" s="1189" t="str">
        <f>CONCATENATE("Maximum and Minimum Temperature by month in the district of ",District!$A$1)</f>
        <v>Maximum and Minimum Temperature by month in the district of Bankura</v>
      </c>
      <c r="B2" s="1189"/>
      <c r="C2" s="1189"/>
      <c r="D2" s="1189"/>
      <c r="E2" s="1189"/>
      <c r="F2" s="1189"/>
      <c r="G2" s="1189"/>
      <c r="H2" s="1189"/>
      <c r="I2" s="1189"/>
      <c r="J2" s="1189"/>
      <c r="K2" s="1189"/>
    </row>
    <row r="3" spans="1:11">
      <c r="A3" s="616" t="s">
        <v>1630</v>
      </c>
      <c r="D3" s="200"/>
      <c r="E3" s="200"/>
      <c r="F3" s="200"/>
      <c r="G3" s="200"/>
      <c r="H3" s="200"/>
      <c r="I3" s="200"/>
      <c r="K3" s="18" t="s">
        <v>33</v>
      </c>
    </row>
    <row r="4" spans="1:11" ht="12.75" customHeight="1">
      <c r="A4" s="1196" t="s">
        <v>425</v>
      </c>
      <c r="B4" s="1209">
        <f>District!B13</f>
        <v>2010</v>
      </c>
      <c r="C4" s="1210"/>
      <c r="D4" s="1209">
        <f>District!D13</f>
        <v>2011</v>
      </c>
      <c r="E4" s="1210"/>
      <c r="F4" s="1209">
        <f>District!F13</f>
        <v>2012</v>
      </c>
      <c r="G4" s="1210"/>
      <c r="H4" s="1209">
        <f>District!H13</f>
        <v>2013</v>
      </c>
      <c r="I4" s="1210"/>
      <c r="J4" s="1209">
        <f>District!J13</f>
        <v>2014</v>
      </c>
      <c r="K4" s="1210"/>
    </row>
    <row r="5" spans="1:11" ht="12.75" customHeight="1">
      <c r="A5" s="1197"/>
      <c r="B5" s="233" t="s">
        <v>502</v>
      </c>
      <c r="C5" s="234" t="s">
        <v>503</v>
      </c>
      <c r="D5" s="233" t="s">
        <v>502</v>
      </c>
      <c r="E5" s="234" t="s">
        <v>503</v>
      </c>
      <c r="F5" s="233" t="s">
        <v>502</v>
      </c>
      <c r="G5" s="234" t="s">
        <v>503</v>
      </c>
      <c r="H5" s="233" t="s">
        <v>502</v>
      </c>
      <c r="I5" s="234" t="s">
        <v>503</v>
      </c>
      <c r="J5" s="233" t="s">
        <v>502</v>
      </c>
      <c r="K5" s="234" t="s">
        <v>503</v>
      </c>
    </row>
    <row r="6" spans="1:11" ht="12.75" customHeight="1">
      <c r="A6" s="235" t="s">
        <v>418</v>
      </c>
      <c r="B6" s="235" t="s">
        <v>419</v>
      </c>
      <c r="C6" s="236" t="s">
        <v>420</v>
      </c>
      <c r="D6" s="235" t="s">
        <v>421</v>
      </c>
      <c r="E6" s="236" t="s">
        <v>422</v>
      </c>
      <c r="F6" s="235" t="s">
        <v>423</v>
      </c>
      <c r="G6" s="236" t="s">
        <v>424</v>
      </c>
      <c r="H6" s="235" t="s">
        <v>440</v>
      </c>
      <c r="I6" s="236" t="s">
        <v>441</v>
      </c>
      <c r="J6" s="424" t="s">
        <v>442</v>
      </c>
      <c r="K6" s="424" t="s">
        <v>443</v>
      </c>
    </row>
    <row r="7" spans="1:11" ht="13.5" customHeight="1">
      <c r="A7" s="74" t="s">
        <v>427</v>
      </c>
      <c r="B7" s="386">
        <v>31</v>
      </c>
      <c r="C7" s="328">
        <v>8</v>
      </c>
      <c r="D7" s="382">
        <v>31</v>
      </c>
      <c r="E7" s="50">
        <v>6</v>
      </c>
      <c r="F7" s="382">
        <v>30</v>
      </c>
      <c r="G7" s="382">
        <v>7</v>
      </c>
      <c r="H7" s="58">
        <v>31</v>
      </c>
      <c r="I7" s="58">
        <v>5</v>
      </c>
      <c r="J7" s="58">
        <v>29</v>
      </c>
      <c r="K7" s="58">
        <v>9</v>
      </c>
    </row>
    <row r="8" spans="1:11" ht="13.5" customHeight="1">
      <c r="A8" s="74" t="s">
        <v>428</v>
      </c>
      <c r="B8" s="280">
        <v>34</v>
      </c>
      <c r="C8" s="328">
        <v>11</v>
      </c>
      <c r="D8" s="49">
        <v>37</v>
      </c>
      <c r="E8" s="50">
        <v>9</v>
      </c>
      <c r="F8" s="49">
        <v>37</v>
      </c>
      <c r="G8" s="49">
        <v>10</v>
      </c>
      <c r="H8" s="33">
        <v>33</v>
      </c>
      <c r="I8" s="33">
        <v>10</v>
      </c>
      <c r="J8" s="33">
        <v>34</v>
      </c>
      <c r="K8" s="33">
        <v>11</v>
      </c>
    </row>
    <row r="9" spans="1:11" ht="13.5" customHeight="1">
      <c r="A9" s="74" t="s">
        <v>429</v>
      </c>
      <c r="B9" s="280">
        <v>43</v>
      </c>
      <c r="C9" s="328">
        <v>18</v>
      </c>
      <c r="D9" s="49">
        <v>41</v>
      </c>
      <c r="E9" s="50">
        <v>10</v>
      </c>
      <c r="F9" s="49">
        <v>41</v>
      </c>
      <c r="G9" s="49">
        <v>15</v>
      </c>
      <c r="H9" s="33">
        <v>39</v>
      </c>
      <c r="I9" s="33">
        <v>13</v>
      </c>
      <c r="J9" s="33">
        <v>39</v>
      </c>
      <c r="K9" s="33">
        <v>16</v>
      </c>
    </row>
    <row r="10" spans="1:11" ht="13.5" customHeight="1">
      <c r="A10" s="74" t="s">
        <v>430</v>
      </c>
      <c r="B10" s="280">
        <v>46</v>
      </c>
      <c r="C10" s="328">
        <v>20</v>
      </c>
      <c r="D10" s="49">
        <v>40</v>
      </c>
      <c r="E10" s="50">
        <v>17</v>
      </c>
      <c r="F10" s="49">
        <v>42</v>
      </c>
      <c r="G10" s="49">
        <v>17</v>
      </c>
      <c r="H10" s="33">
        <v>45</v>
      </c>
      <c r="I10" s="33">
        <v>18</v>
      </c>
      <c r="J10" s="33">
        <v>44</v>
      </c>
      <c r="K10" s="33">
        <v>21</v>
      </c>
    </row>
    <row r="11" spans="1:11" ht="13.5" customHeight="1">
      <c r="A11" s="74" t="s">
        <v>431</v>
      </c>
      <c r="B11" s="280">
        <v>41</v>
      </c>
      <c r="C11" s="328">
        <v>21</v>
      </c>
      <c r="D11" s="49">
        <v>39</v>
      </c>
      <c r="E11" s="50">
        <v>19</v>
      </c>
      <c r="F11" s="49">
        <v>46</v>
      </c>
      <c r="G11" s="49">
        <v>20</v>
      </c>
      <c r="H11" s="33">
        <v>44</v>
      </c>
      <c r="I11" s="33">
        <v>20</v>
      </c>
      <c r="J11" s="33">
        <v>45</v>
      </c>
      <c r="K11" s="33">
        <v>21</v>
      </c>
    </row>
    <row r="12" spans="1:11" ht="13.5" customHeight="1">
      <c r="A12" s="74" t="s">
        <v>432</v>
      </c>
      <c r="B12" s="280">
        <v>43</v>
      </c>
      <c r="C12" s="328">
        <v>21</v>
      </c>
      <c r="D12" s="49">
        <v>39</v>
      </c>
      <c r="E12" s="50">
        <v>21</v>
      </c>
      <c r="F12" s="49">
        <v>46</v>
      </c>
      <c r="G12" s="49">
        <v>20</v>
      </c>
      <c r="H12" s="33">
        <v>37</v>
      </c>
      <c r="I12" s="33">
        <v>22</v>
      </c>
      <c r="J12" s="33">
        <v>44</v>
      </c>
      <c r="K12" s="33">
        <v>18</v>
      </c>
    </row>
    <row r="13" spans="1:11" ht="13.5" customHeight="1">
      <c r="A13" s="74" t="s">
        <v>433</v>
      </c>
      <c r="B13" s="280">
        <v>36</v>
      </c>
      <c r="C13" s="328">
        <v>22</v>
      </c>
      <c r="D13" s="49">
        <v>36</v>
      </c>
      <c r="E13" s="50">
        <v>20</v>
      </c>
      <c r="F13" s="49">
        <v>40</v>
      </c>
      <c r="G13" s="49">
        <v>22</v>
      </c>
      <c r="H13" s="33">
        <v>37</v>
      </c>
      <c r="I13" s="33">
        <v>23</v>
      </c>
      <c r="J13" s="33">
        <v>36</v>
      </c>
      <c r="K13" s="33">
        <v>24</v>
      </c>
    </row>
    <row r="14" spans="1:11" ht="13.5" customHeight="1">
      <c r="A14" s="74" t="s">
        <v>434</v>
      </c>
      <c r="B14" s="280">
        <v>37</v>
      </c>
      <c r="C14" s="328">
        <v>22</v>
      </c>
      <c r="D14" s="49">
        <v>36</v>
      </c>
      <c r="E14" s="50">
        <v>20</v>
      </c>
      <c r="F14" s="49">
        <v>35</v>
      </c>
      <c r="G14" s="49">
        <v>24</v>
      </c>
      <c r="H14" s="33">
        <v>36</v>
      </c>
      <c r="I14" s="33">
        <v>22</v>
      </c>
      <c r="J14" s="33">
        <v>36</v>
      </c>
      <c r="K14" s="33">
        <v>25</v>
      </c>
    </row>
    <row r="15" spans="1:11" ht="13.5" customHeight="1">
      <c r="A15" s="74" t="s">
        <v>435</v>
      </c>
      <c r="B15" s="280">
        <v>35</v>
      </c>
      <c r="C15" s="328">
        <v>19</v>
      </c>
      <c r="D15" s="49">
        <v>35</v>
      </c>
      <c r="E15" s="50">
        <v>21</v>
      </c>
      <c r="F15" s="49" t="s">
        <v>906</v>
      </c>
      <c r="G15" s="49" t="s">
        <v>906</v>
      </c>
      <c r="H15" s="33">
        <v>36</v>
      </c>
      <c r="I15" s="33">
        <v>23</v>
      </c>
      <c r="J15" s="33">
        <v>37</v>
      </c>
      <c r="K15" s="33">
        <v>23</v>
      </c>
    </row>
    <row r="16" spans="1:11" ht="13.5" customHeight="1">
      <c r="A16" s="74" t="s">
        <v>436</v>
      </c>
      <c r="B16" s="280">
        <v>36</v>
      </c>
      <c r="C16" s="328">
        <v>16</v>
      </c>
      <c r="D16" s="49">
        <v>34</v>
      </c>
      <c r="E16" s="50">
        <v>18</v>
      </c>
      <c r="F16" s="49">
        <v>36</v>
      </c>
      <c r="G16" s="49">
        <v>17</v>
      </c>
      <c r="H16" s="33">
        <v>35</v>
      </c>
      <c r="I16" s="33">
        <v>12</v>
      </c>
      <c r="J16" s="33">
        <v>35</v>
      </c>
      <c r="K16" s="33">
        <v>19</v>
      </c>
    </row>
    <row r="17" spans="1:11" ht="13.5" customHeight="1">
      <c r="A17" s="74" t="s">
        <v>437</v>
      </c>
      <c r="B17" s="280">
        <v>35</v>
      </c>
      <c r="C17" s="328">
        <v>11</v>
      </c>
      <c r="D17" s="49">
        <v>33</v>
      </c>
      <c r="E17" s="50">
        <v>15</v>
      </c>
      <c r="F17" s="49">
        <v>33</v>
      </c>
      <c r="G17" s="49">
        <v>12</v>
      </c>
      <c r="H17" s="33">
        <v>32</v>
      </c>
      <c r="I17" s="33">
        <v>14</v>
      </c>
      <c r="J17" s="33">
        <v>33</v>
      </c>
      <c r="K17" s="33">
        <v>13</v>
      </c>
    </row>
    <row r="18" spans="1:11" ht="13.5" customHeight="1">
      <c r="A18" s="74" t="s">
        <v>438</v>
      </c>
      <c r="B18" s="280">
        <v>31</v>
      </c>
      <c r="C18" s="328">
        <v>6</v>
      </c>
      <c r="D18" s="49">
        <v>31</v>
      </c>
      <c r="E18" s="50">
        <v>8</v>
      </c>
      <c r="F18" s="48">
        <v>32</v>
      </c>
      <c r="G18" s="48">
        <v>7</v>
      </c>
      <c r="H18" s="41">
        <v>30</v>
      </c>
      <c r="I18" s="41">
        <v>10</v>
      </c>
      <c r="J18" s="41">
        <v>32</v>
      </c>
      <c r="K18" s="41">
        <v>8</v>
      </c>
    </row>
    <row r="19" spans="1:11" ht="13.5" customHeight="1">
      <c r="A19" s="882" t="s">
        <v>446</v>
      </c>
      <c r="B19" s="179">
        <f>MAX(B7:B18)</f>
        <v>46</v>
      </c>
      <c r="C19" s="180">
        <f>MIN(C7:C18)</f>
        <v>6</v>
      </c>
      <c r="D19" s="179">
        <f>MAX(D7:D18)</f>
        <v>41</v>
      </c>
      <c r="E19" s="180">
        <f>MIN(E7:E18)</f>
        <v>6</v>
      </c>
      <c r="F19" s="35">
        <f>MAX(F7:F18)</f>
        <v>46</v>
      </c>
      <c r="G19" s="157">
        <f>MIN(G7:G18)</f>
        <v>7</v>
      </c>
      <c r="H19" s="35">
        <f>MAX(H7:H18)</f>
        <v>45</v>
      </c>
      <c r="I19" s="157">
        <f>MIN(I7:I18)</f>
        <v>5</v>
      </c>
      <c r="J19" s="35">
        <v>45</v>
      </c>
      <c r="K19" s="157">
        <v>8</v>
      </c>
    </row>
    <row r="20" spans="1:11">
      <c r="G20" s="242"/>
      <c r="H20" s="177"/>
      <c r="J20" s="2"/>
      <c r="K20" s="703" t="s">
        <v>394</v>
      </c>
    </row>
    <row r="21" spans="1:11" ht="8.25" customHeight="1">
      <c r="G21" s="242"/>
      <c r="H21" s="177"/>
      <c r="J21" s="2"/>
      <c r="K21" s="18"/>
    </row>
    <row r="22" spans="1:11" ht="12" customHeight="1">
      <c r="A22" s="1181" t="s">
        <v>1608</v>
      </c>
      <c r="B22" s="1181"/>
      <c r="C22" s="1181"/>
      <c r="D22" s="1181"/>
      <c r="E22" s="1181"/>
      <c r="F22" s="1181"/>
      <c r="G22" s="1181"/>
      <c r="H22" s="1181"/>
      <c r="I22" s="1181"/>
      <c r="J22" s="1181"/>
      <c r="K22" s="1181"/>
    </row>
    <row r="23" spans="1:11" s="206" customFormat="1" ht="14.25" customHeight="1">
      <c r="A23" s="1207" t="str">
        <f>CONCATENATE("Mean Maximum and Mean Minimum Temperature by month in the district of ",District!$A$1)</f>
        <v>Mean Maximum and Mean Minimum Temperature by month in the district of Bankura</v>
      </c>
      <c r="B23" s="1207"/>
      <c r="C23" s="1207"/>
      <c r="D23" s="1207"/>
      <c r="E23" s="1207"/>
      <c r="F23" s="1207"/>
      <c r="G23" s="1207"/>
      <c r="H23" s="1207"/>
      <c r="I23" s="1207"/>
      <c r="J23" s="1207"/>
      <c r="K23" s="1207"/>
    </row>
    <row r="24" spans="1:11">
      <c r="A24" s="616" t="s">
        <v>1630</v>
      </c>
      <c r="D24" s="200"/>
      <c r="E24" s="200"/>
      <c r="F24" s="200"/>
      <c r="G24" s="200"/>
      <c r="H24" s="200"/>
      <c r="I24" s="200"/>
      <c r="K24" s="18" t="s">
        <v>444</v>
      </c>
    </row>
    <row r="25" spans="1:11">
      <c r="A25" s="1196" t="s">
        <v>425</v>
      </c>
      <c r="B25" s="1209">
        <f>District!B13</f>
        <v>2010</v>
      </c>
      <c r="C25" s="1210"/>
      <c r="D25" s="1209">
        <f>District!D13</f>
        <v>2011</v>
      </c>
      <c r="E25" s="1210"/>
      <c r="F25" s="1209">
        <f>District!F13</f>
        <v>2012</v>
      </c>
      <c r="G25" s="1210"/>
      <c r="H25" s="1209">
        <f>District!H13</f>
        <v>2013</v>
      </c>
      <c r="I25" s="1210"/>
      <c r="J25" s="1209">
        <f>District!J13</f>
        <v>2014</v>
      </c>
      <c r="K25" s="1210"/>
    </row>
    <row r="26" spans="1:11">
      <c r="A26" s="1208"/>
      <c r="B26" s="25" t="s">
        <v>445</v>
      </c>
      <c r="C26" s="178" t="s">
        <v>445</v>
      </c>
      <c r="D26" s="27" t="s">
        <v>445</v>
      </c>
      <c r="E26" s="178" t="s">
        <v>445</v>
      </c>
      <c r="F26" s="27" t="s">
        <v>445</v>
      </c>
      <c r="G26" s="178" t="s">
        <v>445</v>
      </c>
      <c r="H26" s="27" t="s">
        <v>445</v>
      </c>
      <c r="I26" s="178" t="s">
        <v>445</v>
      </c>
      <c r="J26" s="25" t="s">
        <v>445</v>
      </c>
      <c r="K26" s="178" t="s">
        <v>445</v>
      </c>
    </row>
    <row r="27" spans="1:11">
      <c r="A27" s="1197"/>
      <c r="B27" s="243" t="s">
        <v>502</v>
      </c>
      <c r="C27" s="176" t="s">
        <v>503</v>
      </c>
      <c r="D27" s="244" t="s">
        <v>502</v>
      </c>
      <c r="E27" s="176" t="s">
        <v>503</v>
      </c>
      <c r="F27" s="244" t="s">
        <v>502</v>
      </c>
      <c r="G27" s="176" t="s">
        <v>503</v>
      </c>
      <c r="H27" s="244" t="s">
        <v>502</v>
      </c>
      <c r="I27" s="176" t="s">
        <v>503</v>
      </c>
      <c r="J27" s="243" t="s">
        <v>502</v>
      </c>
      <c r="K27" s="176" t="s">
        <v>503</v>
      </c>
    </row>
    <row r="28" spans="1:11">
      <c r="A28" s="181" t="s">
        <v>418</v>
      </c>
      <c r="B28" s="213" t="s">
        <v>419</v>
      </c>
      <c r="C28" s="182" t="s">
        <v>420</v>
      </c>
      <c r="D28" s="213" t="s">
        <v>421</v>
      </c>
      <c r="E28" s="182" t="s">
        <v>422</v>
      </c>
      <c r="F28" s="213" t="s">
        <v>423</v>
      </c>
      <c r="G28" s="182" t="s">
        <v>424</v>
      </c>
      <c r="H28" s="213" t="s">
        <v>440</v>
      </c>
      <c r="I28" s="182" t="s">
        <v>441</v>
      </c>
      <c r="J28" s="213" t="s">
        <v>442</v>
      </c>
      <c r="K28" s="213" t="s">
        <v>443</v>
      </c>
    </row>
    <row r="29" spans="1:11" ht="13.5" customHeight="1">
      <c r="A29" s="74" t="s">
        <v>427</v>
      </c>
      <c r="B29" s="224">
        <v>26</v>
      </c>
      <c r="C29" s="490">
        <v>10</v>
      </c>
      <c r="D29" s="33">
        <v>26</v>
      </c>
      <c r="E29" s="24">
        <v>8</v>
      </c>
      <c r="F29" s="58">
        <v>25</v>
      </c>
      <c r="G29" s="58">
        <v>13</v>
      </c>
      <c r="H29" s="58">
        <v>25</v>
      </c>
      <c r="I29" s="58">
        <v>10</v>
      </c>
      <c r="J29" s="58">
        <v>26</v>
      </c>
      <c r="K29" s="58">
        <v>13</v>
      </c>
    </row>
    <row r="30" spans="1:11" ht="13.5" customHeight="1">
      <c r="A30" s="74" t="s">
        <v>428</v>
      </c>
      <c r="B30" s="224">
        <v>31</v>
      </c>
      <c r="C30" s="490">
        <v>15</v>
      </c>
      <c r="D30" s="33">
        <v>31</v>
      </c>
      <c r="E30" s="24">
        <v>12</v>
      </c>
      <c r="F30" s="33">
        <v>31</v>
      </c>
      <c r="G30" s="33">
        <v>15</v>
      </c>
      <c r="H30" s="33">
        <v>29</v>
      </c>
      <c r="I30" s="33">
        <v>14</v>
      </c>
      <c r="J30" s="33">
        <v>29</v>
      </c>
      <c r="K30" s="33">
        <v>15</v>
      </c>
    </row>
    <row r="31" spans="1:11" ht="13.5" customHeight="1">
      <c r="A31" s="74" t="s">
        <v>429</v>
      </c>
      <c r="B31" s="224">
        <v>38</v>
      </c>
      <c r="C31" s="490">
        <v>21</v>
      </c>
      <c r="D31" s="33">
        <v>36</v>
      </c>
      <c r="E31" s="24">
        <v>18</v>
      </c>
      <c r="F31" s="33">
        <v>36</v>
      </c>
      <c r="G31" s="33">
        <v>19</v>
      </c>
      <c r="H31" s="33">
        <v>36</v>
      </c>
      <c r="I31" s="33">
        <v>19</v>
      </c>
      <c r="J31" s="33">
        <v>34</v>
      </c>
      <c r="K31" s="33">
        <v>19</v>
      </c>
    </row>
    <row r="32" spans="1:11" ht="13.5" customHeight="1">
      <c r="A32" s="74" t="s">
        <v>430</v>
      </c>
      <c r="B32" s="224">
        <v>42</v>
      </c>
      <c r="C32" s="490">
        <v>25</v>
      </c>
      <c r="D32" s="33">
        <v>36</v>
      </c>
      <c r="E32" s="24">
        <v>20</v>
      </c>
      <c r="F32" s="33">
        <v>38</v>
      </c>
      <c r="G32" s="33">
        <v>22</v>
      </c>
      <c r="H32" s="33">
        <v>39</v>
      </c>
      <c r="I32" s="33">
        <v>23</v>
      </c>
      <c r="J32" s="33">
        <v>41</v>
      </c>
      <c r="K32" s="33">
        <v>24</v>
      </c>
    </row>
    <row r="33" spans="1:11" ht="13.5" customHeight="1">
      <c r="A33" s="74" t="s">
        <v>431</v>
      </c>
      <c r="B33" s="224">
        <v>36</v>
      </c>
      <c r="C33" s="490">
        <v>24</v>
      </c>
      <c r="D33" s="33">
        <v>36</v>
      </c>
      <c r="E33" s="24">
        <v>22</v>
      </c>
      <c r="F33" s="33">
        <v>40</v>
      </c>
      <c r="G33" s="33">
        <v>24</v>
      </c>
      <c r="H33" s="33">
        <v>37</v>
      </c>
      <c r="I33" s="33">
        <v>24</v>
      </c>
      <c r="J33" s="33">
        <v>39</v>
      </c>
      <c r="K33" s="33">
        <v>25</v>
      </c>
    </row>
    <row r="34" spans="1:11" ht="13.5" customHeight="1">
      <c r="A34" s="74" t="s">
        <v>432</v>
      </c>
      <c r="B34" s="224">
        <v>37</v>
      </c>
      <c r="C34" s="490">
        <v>24</v>
      </c>
      <c r="D34" s="33">
        <v>34</v>
      </c>
      <c r="E34" s="24">
        <v>22</v>
      </c>
      <c r="F34" s="33">
        <v>39</v>
      </c>
      <c r="G34" s="33">
        <v>26</v>
      </c>
      <c r="H34" s="33">
        <v>34</v>
      </c>
      <c r="I34" s="33">
        <v>24</v>
      </c>
      <c r="J34" s="33">
        <v>38</v>
      </c>
      <c r="K34" s="33">
        <v>26</v>
      </c>
    </row>
    <row r="35" spans="1:11" ht="13.5" customHeight="1">
      <c r="A35" s="74" t="s">
        <v>433</v>
      </c>
      <c r="B35" s="224">
        <v>33</v>
      </c>
      <c r="C35" s="490">
        <v>23</v>
      </c>
      <c r="D35" s="33">
        <v>33</v>
      </c>
      <c r="E35" s="24">
        <v>22</v>
      </c>
      <c r="F35" s="33">
        <v>34</v>
      </c>
      <c r="G35" s="33">
        <v>25</v>
      </c>
      <c r="H35" s="33">
        <v>33</v>
      </c>
      <c r="I35" s="33">
        <v>24</v>
      </c>
      <c r="J35" s="33">
        <v>33</v>
      </c>
      <c r="K35" s="33">
        <v>26</v>
      </c>
    </row>
    <row r="36" spans="1:11" ht="13.5" customHeight="1">
      <c r="A36" s="74" t="s">
        <v>434</v>
      </c>
      <c r="B36" s="224">
        <v>34</v>
      </c>
      <c r="C36" s="490">
        <v>23</v>
      </c>
      <c r="D36" s="33">
        <v>32</v>
      </c>
      <c r="E36" s="24">
        <v>22</v>
      </c>
      <c r="F36" s="33">
        <v>33</v>
      </c>
      <c r="G36" s="33">
        <v>26</v>
      </c>
      <c r="H36" s="33">
        <v>32</v>
      </c>
      <c r="I36" s="33">
        <v>23</v>
      </c>
      <c r="J36" s="33">
        <v>33</v>
      </c>
      <c r="K36" s="33">
        <v>26</v>
      </c>
    </row>
    <row r="37" spans="1:11" ht="13.5" customHeight="1">
      <c r="A37" s="74" t="s">
        <v>435</v>
      </c>
      <c r="B37" s="224">
        <v>32</v>
      </c>
      <c r="C37" s="490">
        <v>22</v>
      </c>
      <c r="D37" s="33">
        <v>31</v>
      </c>
      <c r="E37" s="24">
        <v>23</v>
      </c>
      <c r="F37" s="33" t="s">
        <v>906</v>
      </c>
      <c r="G37" s="33" t="s">
        <v>906</v>
      </c>
      <c r="H37" s="33">
        <v>33</v>
      </c>
      <c r="I37" s="33">
        <v>25</v>
      </c>
      <c r="J37" s="33">
        <v>33</v>
      </c>
      <c r="K37" s="33">
        <v>26</v>
      </c>
    </row>
    <row r="38" spans="1:11" ht="13.5" customHeight="1">
      <c r="A38" s="74" t="s">
        <v>436</v>
      </c>
      <c r="B38" s="224">
        <v>32</v>
      </c>
      <c r="C38" s="490">
        <v>20</v>
      </c>
      <c r="D38" s="33">
        <v>33</v>
      </c>
      <c r="E38" s="24">
        <v>22</v>
      </c>
      <c r="F38" s="33">
        <v>33</v>
      </c>
      <c r="G38" s="33">
        <v>22</v>
      </c>
      <c r="H38" s="33">
        <v>31</v>
      </c>
      <c r="I38" s="33">
        <v>23</v>
      </c>
      <c r="J38" s="33">
        <v>32</v>
      </c>
      <c r="K38" s="33">
        <v>23</v>
      </c>
    </row>
    <row r="39" spans="1:11" ht="13.5" customHeight="1">
      <c r="A39" s="74" t="s">
        <v>437</v>
      </c>
      <c r="B39" s="224">
        <v>31</v>
      </c>
      <c r="C39" s="490">
        <v>16</v>
      </c>
      <c r="D39" s="33">
        <v>31</v>
      </c>
      <c r="E39" s="24">
        <v>18</v>
      </c>
      <c r="F39" s="33">
        <v>29</v>
      </c>
      <c r="G39" s="33">
        <v>17</v>
      </c>
      <c r="H39" s="33">
        <v>30</v>
      </c>
      <c r="I39" s="33">
        <v>17</v>
      </c>
      <c r="J39" s="33">
        <v>31</v>
      </c>
      <c r="K39" s="33">
        <v>16</v>
      </c>
    </row>
    <row r="40" spans="1:11" ht="13.5" customHeight="1">
      <c r="A40" s="75" t="s">
        <v>438</v>
      </c>
      <c r="B40" s="248">
        <v>26</v>
      </c>
      <c r="C40" s="194">
        <v>9</v>
      </c>
      <c r="D40" s="41">
        <v>31</v>
      </c>
      <c r="E40" s="40">
        <v>8</v>
      </c>
      <c r="F40" s="41">
        <v>26</v>
      </c>
      <c r="G40" s="41">
        <v>12</v>
      </c>
      <c r="H40" s="41">
        <v>27</v>
      </c>
      <c r="I40" s="41">
        <v>13</v>
      </c>
      <c r="J40" s="41">
        <v>27</v>
      </c>
      <c r="K40" s="41">
        <v>12</v>
      </c>
    </row>
    <row r="41" spans="1:11">
      <c r="I41" s="2"/>
      <c r="J41" s="2"/>
      <c r="K41" s="703" t="s">
        <v>394</v>
      </c>
    </row>
    <row r="42" spans="1:11">
      <c r="H42" s="2"/>
      <c r="I42" s="2"/>
      <c r="J42" s="2"/>
    </row>
  </sheetData>
  <mergeCells count="16">
    <mergeCell ref="A22:K22"/>
    <mergeCell ref="A1:K1"/>
    <mergeCell ref="A2:K2"/>
    <mergeCell ref="A4:A5"/>
    <mergeCell ref="B4:C4"/>
    <mergeCell ref="D4:E4"/>
    <mergeCell ref="F4:G4"/>
    <mergeCell ref="H4:I4"/>
    <mergeCell ref="J4:K4"/>
    <mergeCell ref="A23:K23"/>
    <mergeCell ref="A25:A27"/>
    <mergeCell ref="B25:C25"/>
    <mergeCell ref="D25:E25"/>
    <mergeCell ref="F25:G25"/>
    <mergeCell ref="H25:I25"/>
    <mergeCell ref="J25:K25"/>
  </mergeCells>
  <phoneticPr fontId="0" type="noConversion"/>
  <conditionalFormatting sqref="A1:XFD1048576">
    <cfRule type="cellIs" dxfId="16" priority="1" stopIfTrue="1" operator="equal">
      <formula>".."</formula>
    </cfRule>
  </conditionalFormatting>
  <printOptions horizontalCentered="1"/>
  <pageMargins left="0.1" right="0.1" top="0.4" bottom="0.14000000000000001" header="0.28999999999999998" footer="0.14000000000000001"/>
  <pageSetup paperSize="9" orientation="landscape" r:id="rId1"/>
  <headerFooter alignWithMargins="0"/>
</worksheet>
</file>

<file path=xl/worksheets/sheet70.xml><?xml version="1.0" encoding="utf-8"?>
<worksheet xmlns="http://schemas.openxmlformats.org/spreadsheetml/2006/main" xmlns:r="http://schemas.openxmlformats.org/officeDocument/2006/relationships">
  <sheetPr codeName="Sheet86"/>
  <dimension ref="A1:S37"/>
  <sheetViews>
    <sheetView workbookViewId="0">
      <selection activeCell="N31" sqref="N31"/>
    </sheetView>
  </sheetViews>
  <sheetFormatPr defaultRowHeight="12.75"/>
  <cols>
    <col min="1" max="1" width="18" style="172" customWidth="1"/>
    <col min="2" max="7" width="10.7109375" style="172" customWidth="1"/>
    <col min="8" max="16384" width="9.140625" style="172"/>
  </cols>
  <sheetData>
    <row r="1" spans="1:17" ht="13.5" customHeight="1">
      <c r="A1" s="1229" t="s">
        <v>845</v>
      </c>
      <c r="B1" s="1229"/>
      <c r="C1" s="1229"/>
      <c r="D1" s="1229"/>
      <c r="E1" s="1229"/>
      <c r="F1" s="1229"/>
      <c r="G1" s="1229"/>
    </row>
    <row r="2" spans="1:17" s="206" customFormat="1" ht="18" customHeight="1">
      <c r="A2" s="1235" t="str">
        <f>CONCATENATE("Accidents on Roads in the district of ",District!$A$1)</f>
        <v>Accidents on Roads in the district of Bankura</v>
      </c>
      <c r="B2" s="1235"/>
      <c r="C2" s="1235"/>
      <c r="D2" s="1235"/>
      <c r="E2" s="1235"/>
      <c r="F2" s="1235"/>
      <c r="G2" s="1235"/>
    </row>
    <row r="3" spans="1:17" ht="28.5" customHeight="1">
      <c r="A3" s="117" t="s">
        <v>304</v>
      </c>
      <c r="B3" s="1258" t="s">
        <v>1413</v>
      </c>
      <c r="C3" s="1260"/>
      <c r="D3" s="1258" t="s">
        <v>611</v>
      </c>
      <c r="E3" s="1260"/>
      <c r="F3" s="1259" t="s">
        <v>751</v>
      </c>
      <c r="G3" s="1260"/>
    </row>
    <row r="4" spans="1:17" ht="15" customHeight="1">
      <c r="A4" s="221" t="s">
        <v>418</v>
      </c>
      <c r="B4" s="1201" t="s">
        <v>419</v>
      </c>
      <c r="C4" s="1257"/>
      <c r="D4" s="1201" t="s">
        <v>420</v>
      </c>
      <c r="E4" s="1257"/>
      <c r="F4" s="1202" t="s">
        <v>421</v>
      </c>
      <c r="G4" s="1257"/>
    </row>
    <row r="5" spans="1:17" ht="24.75" customHeight="1">
      <c r="A5" s="226">
        <f>District!C16</f>
        <v>2010</v>
      </c>
      <c r="B5" s="1375">
        <v>318</v>
      </c>
      <c r="C5" s="1376"/>
      <c r="D5" s="1375">
        <v>492</v>
      </c>
      <c r="E5" s="1376"/>
      <c r="F5" s="1375">
        <v>182</v>
      </c>
      <c r="G5" s="1376"/>
    </row>
    <row r="6" spans="1:17" ht="24.75" customHeight="1">
      <c r="A6" s="226">
        <f>District!C17</f>
        <v>2011</v>
      </c>
      <c r="B6" s="1248">
        <v>324</v>
      </c>
      <c r="C6" s="1409"/>
      <c r="D6" s="1248">
        <v>592</v>
      </c>
      <c r="E6" s="1409"/>
      <c r="F6" s="1248">
        <v>200</v>
      </c>
      <c r="G6" s="1409"/>
      <c r="L6"/>
      <c r="M6"/>
      <c r="N6"/>
      <c r="O6"/>
      <c r="P6"/>
      <c r="Q6"/>
    </row>
    <row r="7" spans="1:17" ht="24.75" customHeight="1">
      <c r="A7" s="226">
        <f>District!C18</f>
        <v>2012</v>
      </c>
      <c r="B7" s="1248">
        <v>383</v>
      </c>
      <c r="C7" s="1409"/>
      <c r="D7" s="1248">
        <v>625</v>
      </c>
      <c r="E7" s="1409"/>
      <c r="F7" s="1248">
        <v>232</v>
      </c>
      <c r="G7" s="1409"/>
      <c r="L7"/>
      <c r="M7"/>
      <c r="N7"/>
      <c r="O7"/>
      <c r="P7"/>
      <c r="Q7"/>
    </row>
    <row r="8" spans="1:17" ht="24.75" customHeight="1">
      <c r="A8" s="110">
        <f>District!C19</f>
        <v>2013</v>
      </c>
      <c r="B8" s="1249">
        <v>328</v>
      </c>
      <c r="C8" s="1409"/>
      <c r="D8" s="1248">
        <v>590</v>
      </c>
      <c r="E8" s="1409"/>
      <c r="F8" s="1249">
        <v>178</v>
      </c>
      <c r="G8" s="1409"/>
      <c r="L8"/>
      <c r="M8"/>
      <c r="N8"/>
      <c r="O8"/>
      <c r="P8"/>
      <c r="Q8"/>
    </row>
    <row r="9" spans="1:17" ht="24.75" customHeight="1">
      <c r="A9" s="251">
        <f>District!C20</f>
        <v>2014</v>
      </c>
      <c r="B9" s="1268">
        <v>374</v>
      </c>
      <c r="C9" s="1416"/>
      <c r="D9" s="1268">
        <v>502</v>
      </c>
      <c r="E9" s="1416"/>
      <c r="F9" s="1269">
        <v>215</v>
      </c>
      <c r="G9" s="1416"/>
      <c r="L9"/>
      <c r="M9"/>
      <c r="N9"/>
      <c r="O9"/>
      <c r="P9"/>
      <c r="Q9"/>
    </row>
    <row r="10" spans="1:17">
      <c r="C10" s="2"/>
      <c r="G10" s="703" t="s">
        <v>522</v>
      </c>
    </row>
    <row r="11" spans="1:17">
      <c r="B11" s="2"/>
      <c r="C11" s="2"/>
    </row>
    <row r="12" spans="1:17" ht="13.5" customHeight="1">
      <c r="A12" s="1181" t="s">
        <v>846</v>
      </c>
      <c r="B12" s="1181"/>
      <c r="C12" s="1181"/>
      <c r="D12" s="1181"/>
      <c r="E12" s="1181"/>
      <c r="F12" s="1181"/>
      <c r="G12" s="1181"/>
    </row>
    <row r="13" spans="1:17" s="206" customFormat="1" ht="18" customHeight="1">
      <c r="A13" s="1189" t="str">
        <f>CONCATENATE("Post &amp; Telegraph Offices in the district of ",District!$A$1)</f>
        <v>Post &amp; Telegraph Offices in the district of Bankura</v>
      </c>
      <c r="B13" s="1189"/>
      <c r="C13" s="1189"/>
      <c r="D13" s="1189"/>
      <c r="E13" s="1189"/>
      <c r="F13" s="1189"/>
      <c r="G13" s="1189"/>
    </row>
    <row r="14" spans="1:17" ht="12.75" customHeight="1">
      <c r="A14" s="206"/>
      <c r="B14" s="206"/>
      <c r="C14" s="206"/>
      <c r="D14" s="206"/>
      <c r="E14" s="243"/>
      <c r="F14" s="243"/>
      <c r="G14" s="198" t="s">
        <v>913</v>
      </c>
    </row>
    <row r="15" spans="1:17" ht="34.5" customHeight="1">
      <c r="A15" s="274" t="s">
        <v>614</v>
      </c>
      <c r="B15" s="1258" t="s">
        <v>184</v>
      </c>
      <c r="C15" s="1184"/>
      <c r="D15" s="1258" t="s">
        <v>185</v>
      </c>
      <c r="E15" s="1184"/>
      <c r="F15" s="1258" t="s">
        <v>189</v>
      </c>
      <c r="G15" s="1184"/>
    </row>
    <row r="16" spans="1:17" ht="15" customHeight="1">
      <c r="A16" s="221" t="s">
        <v>418</v>
      </c>
      <c r="B16" s="1201" t="s">
        <v>419</v>
      </c>
      <c r="C16" s="1257"/>
      <c r="D16" s="1201" t="s">
        <v>420</v>
      </c>
      <c r="E16" s="1257"/>
      <c r="F16" s="1201" t="s">
        <v>421</v>
      </c>
      <c r="G16" s="1257"/>
    </row>
    <row r="17" spans="1:19" ht="24" customHeight="1">
      <c r="A17" s="647">
        <f>District!C16</f>
        <v>2010</v>
      </c>
      <c r="B17" s="1375">
        <v>485</v>
      </c>
      <c r="C17" s="1376"/>
      <c r="D17" s="1375">
        <v>1</v>
      </c>
      <c r="E17" s="1376"/>
      <c r="F17" s="1375">
        <v>23</v>
      </c>
      <c r="G17" s="1376"/>
    </row>
    <row r="18" spans="1:19" ht="24" customHeight="1">
      <c r="A18" s="647">
        <f>District!C17</f>
        <v>2011</v>
      </c>
      <c r="B18" s="1248">
        <v>486</v>
      </c>
      <c r="C18" s="1409"/>
      <c r="D18" s="1248" t="s">
        <v>1127</v>
      </c>
      <c r="E18" s="1409"/>
      <c r="F18" s="1248" t="s">
        <v>1127</v>
      </c>
      <c r="G18" s="1409"/>
      <c r="N18"/>
      <c r="O18"/>
      <c r="P18"/>
      <c r="Q18"/>
      <c r="R18"/>
      <c r="S18"/>
    </row>
    <row r="19" spans="1:19" ht="24" customHeight="1">
      <c r="A19" s="647">
        <f>District!C18</f>
        <v>2012</v>
      </c>
      <c r="B19" s="1248">
        <v>486</v>
      </c>
      <c r="C19" s="1409"/>
      <c r="D19" s="1248" t="s">
        <v>1127</v>
      </c>
      <c r="E19" s="1409"/>
      <c r="F19" s="1248" t="s">
        <v>1127</v>
      </c>
      <c r="G19" s="1409"/>
      <c r="N19"/>
      <c r="O19"/>
      <c r="P19"/>
      <c r="Q19"/>
      <c r="R19"/>
      <c r="S19"/>
    </row>
    <row r="20" spans="1:19" ht="24" customHeight="1">
      <c r="A20" s="647">
        <f>District!C19</f>
        <v>2013</v>
      </c>
      <c r="B20" s="1248">
        <v>486</v>
      </c>
      <c r="C20" s="1409"/>
      <c r="D20" s="1249" t="s">
        <v>1127</v>
      </c>
      <c r="E20" s="1249"/>
      <c r="F20" s="1248" t="s">
        <v>1127</v>
      </c>
      <c r="G20" s="1409"/>
      <c r="N20"/>
      <c r="O20"/>
      <c r="P20"/>
      <c r="Q20"/>
      <c r="R20"/>
      <c r="S20"/>
    </row>
    <row r="21" spans="1:19" ht="24" customHeight="1">
      <c r="A21" s="581">
        <f>District!C20</f>
        <v>2014</v>
      </c>
      <c r="B21" s="1268">
        <v>486</v>
      </c>
      <c r="C21" s="1416"/>
      <c r="D21" s="1268" t="s">
        <v>1127</v>
      </c>
      <c r="E21" s="1416"/>
      <c r="F21" s="1269" t="s">
        <v>1127</v>
      </c>
      <c r="G21" s="1416"/>
      <c r="N21"/>
      <c r="O21"/>
      <c r="P21"/>
      <c r="Q21"/>
      <c r="R21"/>
      <c r="S21"/>
    </row>
    <row r="22" spans="1:19" ht="12.75" customHeight="1">
      <c r="A22"/>
      <c r="B22"/>
      <c r="C22" s="480"/>
      <c r="G22" s="525" t="s">
        <v>714</v>
      </c>
    </row>
    <row r="23" spans="1:19">
      <c r="A23" s="582"/>
      <c r="B23" s="582"/>
    </row>
    <row r="24" spans="1:19" ht="13.5" customHeight="1">
      <c r="A24" s="1229" t="s">
        <v>1613</v>
      </c>
      <c r="B24" s="1229"/>
      <c r="C24" s="1229"/>
      <c r="D24" s="1229"/>
      <c r="E24" s="1229"/>
      <c r="F24" s="1229"/>
      <c r="G24" s="1229"/>
    </row>
    <row r="25" spans="1:19" s="206" customFormat="1" ht="18" customHeight="1">
      <c r="A25" s="1235" t="str">
        <f>CONCATENATE("Progress in Tourism in the district of ",District!$A$1)</f>
        <v>Progress in Tourism in the district of Bankura</v>
      </c>
      <c r="B25" s="1235"/>
      <c r="C25" s="1235"/>
      <c r="D25" s="1235"/>
      <c r="E25" s="1235"/>
      <c r="F25" s="1235"/>
      <c r="G25" s="1235"/>
    </row>
    <row r="26" spans="1:19" s="206" customFormat="1" ht="11.25" customHeight="1">
      <c r="A26" s="2"/>
      <c r="B26" s="2"/>
      <c r="C26" s="2"/>
      <c r="D26" s="2"/>
      <c r="E26" s="2"/>
      <c r="F26" s="2"/>
      <c r="G26" s="2"/>
    </row>
    <row r="27" spans="1:19" ht="15.95" customHeight="1">
      <c r="A27" s="1186" t="s">
        <v>304</v>
      </c>
      <c r="B27" s="1194" t="s">
        <v>1289</v>
      </c>
      <c r="C27" s="1259" t="s">
        <v>1290</v>
      </c>
      <c r="D27" s="1194" t="s">
        <v>257</v>
      </c>
      <c r="E27" s="1194" t="s">
        <v>1416</v>
      </c>
      <c r="F27" s="1194" t="s">
        <v>1288</v>
      </c>
      <c r="G27" s="1260" t="s">
        <v>256</v>
      </c>
    </row>
    <row r="28" spans="1:19" ht="15.95" customHeight="1">
      <c r="A28" s="1188"/>
      <c r="B28" s="1217"/>
      <c r="C28" s="1262"/>
      <c r="D28" s="1217"/>
      <c r="E28" s="1217"/>
      <c r="F28" s="1217"/>
      <c r="G28" s="1263"/>
    </row>
    <row r="29" spans="1:19" ht="33.75" customHeight="1">
      <c r="A29" s="1188"/>
      <c r="B29" s="1217"/>
      <c r="C29" s="1265"/>
      <c r="D29" s="1217"/>
      <c r="E29" s="1217"/>
      <c r="F29" s="1195"/>
      <c r="G29" s="1266"/>
    </row>
    <row r="30" spans="1:19" ht="15" customHeight="1">
      <c r="A30" s="221" t="s">
        <v>418</v>
      </c>
      <c r="B30" s="213" t="s">
        <v>419</v>
      </c>
      <c r="C30" s="222" t="s">
        <v>420</v>
      </c>
      <c r="D30" s="213" t="s">
        <v>421</v>
      </c>
      <c r="E30" s="222" t="s">
        <v>422</v>
      </c>
      <c r="F30" s="1148" t="s">
        <v>423</v>
      </c>
      <c r="G30" s="214" t="s">
        <v>424</v>
      </c>
    </row>
    <row r="31" spans="1:19" ht="27" customHeight="1">
      <c r="A31" s="226" t="str">
        <f>District!B16</f>
        <v>2009-10</v>
      </c>
      <c r="B31" s="83" t="s">
        <v>1127</v>
      </c>
      <c r="C31" s="506" t="s">
        <v>1127</v>
      </c>
      <c r="D31" s="83" t="s">
        <v>1127</v>
      </c>
      <c r="E31" s="33">
        <v>6</v>
      </c>
      <c r="F31" s="1147">
        <v>6266</v>
      </c>
      <c r="G31" s="39">
        <v>5247</v>
      </c>
    </row>
    <row r="32" spans="1:19" ht="27" customHeight="1">
      <c r="A32" s="226" t="str">
        <f>District!B17</f>
        <v>2010-11</v>
      </c>
      <c r="B32" s="83">
        <v>15</v>
      </c>
      <c r="C32" s="24" t="s">
        <v>906</v>
      </c>
      <c r="D32" s="33" t="s">
        <v>906</v>
      </c>
      <c r="E32" s="33">
        <v>9</v>
      </c>
      <c r="F32" s="1147">
        <v>6443</v>
      </c>
      <c r="G32" s="572">
        <v>6336</v>
      </c>
    </row>
    <row r="33" spans="1:7" ht="27" customHeight="1">
      <c r="A33" s="226" t="str">
        <f>District!B18</f>
        <v>2011-12</v>
      </c>
      <c r="B33" s="83">
        <v>15</v>
      </c>
      <c r="C33" s="24" t="s">
        <v>906</v>
      </c>
      <c r="D33" s="33" t="s">
        <v>906</v>
      </c>
      <c r="E33" s="33">
        <v>9</v>
      </c>
      <c r="F33" s="1147">
        <v>9110</v>
      </c>
      <c r="G33" s="572">
        <v>8331.5499999999993</v>
      </c>
    </row>
    <row r="34" spans="1:7" ht="27" customHeight="1">
      <c r="A34" s="226" t="str">
        <f>District!B19</f>
        <v>2012-13</v>
      </c>
      <c r="B34" s="83">
        <v>15</v>
      </c>
      <c r="C34" s="33" t="s">
        <v>906</v>
      </c>
      <c r="D34" s="33" t="s">
        <v>906</v>
      </c>
      <c r="E34" s="33">
        <v>9</v>
      </c>
      <c r="F34" s="1147">
        <v>7000</v>
      </c>
      <c r="G34" s="572">
        <v>4871.0370000000003</v>
      </c>
    </row>
    <row r="35" spans="1:7" ht="27" customHeight="1">
      <c r="A35" s="463" t="str">
        <f>District!B20</f>
        <v>2013-14</v>
      </c>
      <c r="B35" s="181">
        <v>15</v>
      </c>
      <c r="C35" s="991" t="s">
        <v>1127</v>
      </c>
      <c r="D35" s="988" t="s">
        <v>1127</v>
      </c>
      <c r="E35" s="41">
        <v>11</v>
      </c>
      <c r="F35" s="1146">
        <v>9196</v>
      </c>
      <c r="G35" s="563">
        <v>9112.3670000000002</v>
      </c>
    </row>
    <row r="36" spans="1:7">
      <c r="A36" s="941"/>
      <c r="B36" s="941"/>
      <c r="C36" s="18"/>
      <c r="E36" s="522"/>
      <c r="F36" s="522"/>
      <c r="G36" s="525" t="s">
        <v>360</v>
      </c>
    </row>
    <row r="37" spans="1:7">
      <c r="C37" s="2"/>
      <c r="D37" s="2"/>
      <c r="E37" s="465"/>
      <c r="F37" s="465"/>
      <c r="G37" s="465"/>
    </row>
  </sheetData>
  <mergeCells count="55">
    <mergeCell ref="B21:C21"/>
    <mergeCell ref="D17:E17"/>
    <mergeCell ref="D18:E18"/>
    <mergeCell ref="D19:E19"/>
    <mergeCell ref="B19:C19"/>
    <mergeCell ref="F21:G21"/>
    <mergeCell ref="D16:E16"/>
    <mergeCell ref="F16:G16"/>
    <mergeCell ref="F18:G18"/>
    <mergeCell ref="F19:G19"/>
    <mergeCell ref="F17:G17"/>
    <mergeCell ref="F20:G20"/>
    <mergeCell ref="D21:E21"/>
    <mergeCell ref="D9:E9"/>
    <mergeCell ref="F9:G9"/>
    <mergeCell ref="D15:E15"/>
    <mergeCell ref="B3:C3"/>
    <mergeCell ref="B4:C4"/>
    <mergeCell ref="B9:C9"/>
    <mergeCell ref="D3:E3"/>
    <mergeCell ref="B8:C8"/>
    <mergeCell ref="A13:G13"/>
    <mergeCell ref="D7:E7"/>
    <mergeCell ref="F27:F29"/>
    <mergeCell ref="A25:G25"/>
    <mergeCell ref="B17:C17"/>
    <mergeCell ref="B18:C18"/>
    <mergeCell ref="F15:G15"/>
    <mergeCell ref="A27:A29"/>
    <mergeCell ref="B27:B29"/>
    <mergeCell ref="C27:C29"/>
    <mergeCell ref="D27:D29"/>
    <mergeCell ref="A24:G24"/>
    <mergeCell ref="G27:G29"/>
    <mergeCell ref="B15:C15"/>
    <mergeCell ref="B16:C16"/>
    <mergeCell ref="E27:E29"/>
    <mergeCell ref="B20:C20"/>
    <mergeCell ref="D20:E20"/>
    <mergeCell ref="A1:G1"/>
    <mergeCell ref="A12:G12"/>
    <mergeCell ref="A2:G2"/>
    <mergeCell ref="F3:G3"/>
    <mergeCell ref="F4:G4"/>
    <mergeCell ref="D4:E4"/>
    <mergeCell ref="D8:E8"/>
    <mergeCell ref="F8:G8"/>
    <mergeCell ref="B5:C5"/>
    <mergeCell ref="B6:C6"/>
    <mergeCell ref="B7:C7"/>
    <mergeCell ref="F5:G5"/>
    <mergeCell ref="F6:G6"/>
    <mergeCell ref="F7:G7"/>
    <mergeCell ref="D6:E6"/>
    <mergeCell ref="D5:E5"/>
  </mergeCells>
  <phoneticPr fontId="0" type="noConversion"/>
  <conditionalFormatting sqref="N22:S65536 L1:Q5 T1:IV1048576 R1:S17 L10:M65536 N10:Q17 K1:K1048576 J1:J26 J36:J1048576 I1:I29 I31:I1048576 A1:H1048576">
    <cfRule type="cellIs" dxfId="4" priority="1" stopIfTrue="1" operator="equal">
      <formula>".."</formula>
    </cfRule>
  </conditionalFormatting>
  <printOptions horizontalCentered="1"/>
  <pageMargins left="0.1" right="0.1" top="0.86" bottom="0.1" header="0.7" footer="0.1"/>
  <pageSetup paperSize="9" orientation="portrait" r:id="rId1"/>
  <headerFooter alignWithMargins="0"/>
</worksheet>
</file>

<file path=xl/worksheets/sheet71.xml><?xml version="1.0" encoding="utf-8"?>
<worksheet xmlns="http://schemas.openxmlformats.org/spreadsheetml/2006/main" xmlns:r="http://schemas.openxmlformats.org/officeDocument/2006/relationships">
  <sheetPr codeName="Sheet60"/>
  <dimension ref="A1:U34"/>
  <sheetViews>
    <sheetView topLeftCell="A19" workbookViewId="0">
      <selection activeCell="M30" sqref="M30"/>
    </sheetView>
  </sheetViews>
  <sheetFormatPr defaultRowHeight="12.75"/>
  <cols>
    <col min="1" max="1" width="17.28515625" style="172" customWidth="1"/>
    <col min="2" max="11" width="12" style="172" customWidth="1"/>
    <col min="12" max="16384" width="9.140625" style="172"/>
  </cols>
  <sheetData>
    <row r="1" spans="1:21" ht="15" customHeight="1">
      <c r="A1" s="1181" t="s">
        <v>844</v>
      </c>
      <c r="B1" s="1181"/>
      <c r="C1" s="1181"/>
      <c r="D1" s="1181"/>
      <c r="E1" s="1181"/>
      <c r="F1" s="1181"/>
      <c r="G1" s="1181"/>
      <c r="H1" s="1181"/>
      <c r="I1" s="1181"/>
      <c r="J1" s="1181"/>
      <c r="K1" s="1181"/>
      <c r="L1" s="11"/>
      <c r="M1" s="11"/>
      <c r="N1" s="11"/>
      <c r="O1" s="11"/>
      <c r="P1" s="11"/>
      <c r="Q1" s="11"/>
      <c r="R1" s="11"/>
      <c r="S1" s="11"/>
      <c r="T1" s="11"/>
      <c r="U1" s="11"/>
    </row>
    <row r="2" spans="1:21" s="206" customFormat="1" ht="32.25" customHeight="1">
      <c r="A2" s="1362" t="str">
        <f>CONCATENATE("Offences reported, Cases tried, Persons convicted and acquitted
 for different classes of offence in the district of ",District!$A$1)</f>
        <v>Offences reported, Cases tried, Persons convicted and acquitted
 for different classes of offence in the district of Bankura</v>
      </c>
      <c r="B2" s="1362"/>
      <c r="C2" s="1362"/>
      <c r="D2" s="1362"/>
      <c r="E2" s="1362"/>
      <c r="F2" s="1362"/>
      <c r="G2" s="1362"/>
      <c r="H2" s="1362"/>
      <c r="I2" s="1362"/>
      <c r="J2" s="1362"/>
      <c r="K2" s="1362"/>
      <c r="L2" s="201"/>
      <c r="M2" s="201"/>
      <c r="N2" s="201"/>
      <c r="O2" s="201"/>
      <c r="P2" s="201"/>
      <c r="Q2" s="201"/>
      <c r="R2" s="201"/>
      <c r="S2" s="201"/>
      <c r="T2" s="201"/>
      <c r="U2" s="201"/>
    </row>
    <row r="3" spans="1:21">
      <c r="A3" s="206"/>
      <c r="B3" s="206"/>
      <c r="C3" s="206"/>
      <c r="D3" s="206"/>
      <c r="E3" s="206"/>
      <c r="F3" s="206"/>
      <c r="G3" s="206"/>
      <c r="H3" s="206"/>
      <c r="I3" s="206"/>
      <c r="J3" s="206"/>
      <c r="K3" s="198" t="s">
        <v>452</v>
      </c>
    </row>
    <row r="4" spans="1:21" ht="13.5" customHeight="1">
      <c r="A4" s="1194" t="s">
        <v>615</v>
      </c>
      <c r="B4" s="1237" t="s">
        <v>1213</v>
      </c>
      <c r="C4" s="1239"/>
      <c r="D4" s="1239"/>
      <c r="E4" s="1239"/>
      <c r="F4" s="1238"/>
      <c r="G4" s="1237" t="s">
        <v>1214</v>
      </c>
      <c r="H4" s="1239"/>
      <c r="I4" s="1239"/>
      <c r="J4" s="1239"/>
      <c r="K4" s="1238"/>
    </row>
    <row r="5" spans="1:21" ht="13.5" customHeight="1">
      <c r="A5" s="1197"/>
      <c r="B5" s="412">
        <f>District!B10</f>
        <v>2010</v>
      </c>
      <c r="C5" s="445">
        <f>District!C10</f>
        <v>2011</v>
      </c>
      <c r="D5" s="445">
        <f>District!D10</f>
        <v>2012</v>
      </c>
      <c r="E5" s="109">
        <f>District!E10</f>
        <v>2013</v>
      </c>
      <c r="F5" s="109">
        <f>District!F10</f>
        <v>2014</v>
      </c>
      <c r="G5" s="412">
        <f>District!B10</f>
        <v>2010</v>
      </c>
      <c r="H5" s="445">
        <f>District!C10</f>
        <v>2011</v>
      </c>
      <c r="I5" s="445">
        <f>District!D10</f>
        <v>2012</v>
      </c>
      <c r="J5" s="109">
        <f>District!E10</f>
        <v>2013</v>
      </c>
      <c r="K5" s="109">
        <f>District!F10</f>
        <v>2014</v>
      </c>
    </row>
    <row r="6" spans="1:21" ht="13.5" customHeight="1">
      <c r="A6" s="213" t="s">
        <v>418</v>
      </c>
      <c r="B6" s="221" t="s">
        <v>419</v>
      </c>
      <c r="C6" s="213" t="s">
        <v>420</v>
      </c>
      <c r="D6" s="459" t="s">
        <v>421</v>
      </c>
      <c r="E6" s="213" t="s">
        <v>422</v>
      </c>
      <c r="F6" s="214" t="s">
        <v>423</v>
      </c>
      <c r="G6" s="221" t="s">
        <v>424</v>
      </c>
      <c r="H6" s="213" t="s">
        <v>440</v>
      </c>
      <c r="I6" s="222" t="s">
        <v>441</v>
      </c>
      <c r="J6" s="213" t="s">
        <v>442</v>
      </c>
      <c r="K6" s="214" t="s">
        <v>443</v>
      </c>
    </row>
    <row r="7" spans="1:21" ht="15" customHeight="1">
      <c r="A7" s="33" t="s">
        <v>1207</v>
      </c>
      <c r="B7" s="183">
        <v>105</v>
      </c>
      <c r="C7" s="184">
        <v>67</v>
      </c>
      <c r="D7" s="184">
        <v>61</v>
      </c>
      <c r="E7" s="223">
        <v>58</v>
      </c>
      <c r="F7" s="223">
        <v>75</v>
      </c>
      <c r="G7" s="223">
        <v>42</v>
      </c>
      <c r="H7" s="183">
        <v>74</v>
      </c>
      <c r="I7" s="223">
        <v>61</v>
      </c>
      <c r="J7" s="183">
        <v>49</v>
      </c>
      <c r="K7" s="192">
        <v>407</v>
      </c>
    </row>
    <row r="8" spans="1:21" ht="15" customHeight="1">
      <c r="A8" s="33" t="s">
        <v>1208</v>
      </c>
      <c r="B8" s="183">
        <v>24</v>
      </c>
      <c r="C8" s="184">
        <v>11</v>
      </c>
      <c r="D8" s="184">
        <v>11</v>
      </c>
      <c r="E8" s="183">
        <v>11</v>
      </c>
      <c r="F8" s="183">
        <v>5</v>
      </c>
      <c r="G8" s="183">
        <v>4</v>
      </c>
      <c r="H8" s="183">
        <v>10</v>
      </c>
      <c r="I8" s="183">
        <v>13</v>
      </c>
      <c r="J8" s="183">
        <v>13</v>
      </c>
      <c r="K8" s="184">
        <v>57</v>
      </c>
    </row>
    <row r="9" spans="1:21" ht="15" customHeight="1">
      <c r="A9" s="33" t="s">
        <v>1209</v>
      </c>
      <c r="B9" s="183">
        <v>38</v>
      </c>
      <c r="C9" s="184">
        <v>33</v>
      </c>
      <c r="D9" s="184">
        <v>26</v>
      </c>
      <c r="E9" s="183">
        <v>21</v>
      </c>
      <c r="F9" s="183">
        <v>32</v>
      </c>
      <c r="G9" s="183">
        <v>8</v>
      </c>
      <c r="H9" s="183">
        <v>26</v>
      </c>
      <c r="I9" s="183">
        <v>28</v>
      </c>
      <c r="J9" s="183">
        <v>18</v>
      </c>
      <c r="K9" s="184">
        <v>88</v>
      </c>
    </row>
    <row r="10" spans="1:21" ht="15" customHeight="1">
      <c r="A10" s="250" t="s">
        <v>1210</v>
      </c>
      <c r="B10" s="183">
        <v>8</v>
      </c>
      <c r="C10" s="184">
        <v>22</v>
      </c>
      <c r="D10" s="184">
        <v>14</v>
      </c>
      <c r="E10" s="183">
        <v>9</v>
      </c>
      <c r="F10" s="183">
        <v>11</v>
      </c>
      <c r="G10" s="183">
        <v>2</v>
      </c>
      <c r="H10" s="183">
        <v>8</v>
      </c>
      <c r="I10" s="183">
        <v>7</v>
      </c>
      <c r="J10" s="183">
        <v>4</v>
      </c>
      <c r="K10" s="184">
        <v>28</v>
      </c>
    </row>
    <row r="11" spans="1:21" ht="15" customHeight="1">
      <c r="A11" s="250" t="s">
        <v>1211</v>
      </c>
      <c r="B11" s="183">
        <v>262</v>
      </c>
      <c r="C11" s="184">
        <v>183</v>
      </c>
      <c r="D11" s="184">
        <v>219</v>
      </c>
      <c r="E11" s="183">
        <v>229</v>
      </c>
      <c r="F11" s="183">
        <v>162</v>
      </c>
      <c r="G11" s="183">
        <v>191</v>
      </c>
      <c r="H11" s="183">
        <v>230</v>
      </c>
      <c r="I11" s="183">
        <v>207</v>
      </c>
      <c r="J11" s="183">
        <v>220</v>
      </c>
      <c r="K11" s="184">
        <v>1072</v>
      </c>
    </row>
    <row r="12" spans="1:21" ht="15" customHeight="1">
      <c r="A12" s="250" t="s">
        <v>1212</v>
      </c>
      <c r="B12" s="183">
        <v>228</v>
      </c>
      <c r="C12" s="184">
        <v>436</v>
      </c>
      <c r="D12" s="184">
        <v>224</v>
      </c>
      <c r="E12" s="183">
        <v>333</v>
      </c>
      <c r="F12" s="183">
        <v>653</v>
      </c>
      <c r="G12" s="183">
        <v>94</v>
      </c>
      <c r="H12" s="183">
        <v>301</v>
      </c>
      <c r="I12" s="183">
        <v>130</v>
      </c>
      <c r="J12" s="183">
        <v>236</v>
      </c>
      <c r="K12" s="184">
        <v>645</v>
      </c>
    </row>
    <row r="13" spans="1:21" ht="15" customHeight="1">
      <c r="A13" s="250" t="s">
        <v>882</v>
      </c>
      <c r="B13" s="183">
        <v>242</v>
      </c>
      <c r="C13" s="184" t="s">
        <v>906</v>
      </c>
      <c r="D13" s="184" t="s">
        <v>906</v>
      </c>
      <c r="E13" s="183" t="s">
        <v>906</v>
      </c>
      <c r="F13" s="989" t="s">
        <v>1127</v>
      </c>
      <c r="G13" s="183">
        <v>197</v>
      </c>
      <c r="H13" s="183" t="s">
        <v>906</v>
      </c>
      <c r="I13" s="183" t="s">
        <v>906</v>
      </c>
      <c r="J13" s="183" t="s">
        <v>906</v>
      </c>
      <c r="K13" s="987" t="s">
        <v>1127</v>
      </c>
    </row>
    <row r="14" spans="1:21" ht="29.25" customHeight="1">
      <c r="A14" s="250" t="s">
        <v>883</v>
      </c>
      <c r="B14" s="183">
        <v>466</v>
      </c>
      <c r="C14" s="184">
        <v>435</v>
      </c>
      <c r="D14" s="184">
        <v>610</v>
      </c>
      <c r="E14" s="183">
        <v>527</v>
      </c>
      <c r="F14" s="183">
        <v>692</v>
      </c>
      <c r="G14" s="183">
        <v>421</v>
      </c>
      <c r="H14" s="183">
        <v>424</v>
      </c>
      <c r="I14" s="183">
        <v>595</v>
      </c>
      <c r="J14" s="183">
        <v>523</v>
      </c>
      <c r="K14" s="184">
        <v>2121</v>
      </c>
    </row>
    <row r="15" spans="1:21" ht="15" customHeight="1">
      <c r="A15" s="211" t="s">
        <v>592</v>
      </c>
      <c r="B15" s="248">
        <v>1053</v>
      </c>
      <c r="C15" s="194">
        <v>1490</v>
      </c>
      <c r="D15" s="184">
        <v>2068</v>
      </c>
      <c r="E15" s="183">
        <v>1896</v>
      </c>
      <c r="F15" s="183">
        <v>2153</v>
      </c>
      <c r="G15" s="183">
        <v>831</v>
      </c>
      <c r="H15" s="183">
        <v>1142</v>
      </c>
      <c r="I15" s="183">
        <v>1800</v>
      </c>
      <c r="J15" s="183">
        <v>1663</v>
      </c>
      <c r="K15" s="184">
        <v>7041</v>
      </c>
    </row>
    <row r="16" spans="1:21" ht="15" customHeight="1">
      <c r="A16" s="179" t="s">
        <v>439</v>
      </c>
      <c r="B16" s="179">
        <f t="shared" ref="B16:K16" si="0">SUM(B7:B15)</f>
        <v>2426</v>
      </c>
      <c r="C16" s="208">
        <f t="shared" si="0"/>
        <v>2677</v>
      </c>
      <c r="D16" s="179">
        <f t="shared" si="0"/>
        <v>3233</v>
      </c>
      <c r="E16" s="179">
        <f t="shared" si="0"/>
        <v>3084</v>
      </c>
      <c r="F16" s="179">
        <f t="shared" si="0"/>
        <v>3783</v>
      </c>
      <c r="G16" s="208">
        <f t="shared" si="0"/>
        <v>1790</v>
      </c>
      <c r="H16" s="179">
        <f t="shared" si="0"/>
        <v>2215</v>
      </c>
      <c r="I16" s="208">
        <f t="shared" si="0"/>
        <v>2841</v>
      </c>
      <c r="J16" s="179">
        <f t="shared" si="0"/>
        <v>2726</v>
      </c>
      <c r="K16" s="180">
        <f t="shared" si="0"/>
        <v>11459</v>
      </c>
    </row>
    <row r="17" spans="1:21">
      <c r="A17" s="579"/>
      <c r="B17" s="177"/>
      <c r="C17" s="177"/>
      <c r="D17" s="20"/>
      <c r="F17" s="177"/>
      <c r="G17" s="177"/>
      <c r="H17" s="177"/>
      <c r="I17" s="177"/>
      <c r="K17" s="716" t="s">
        <v>480</v>
      </c>
    </row>
    <row r="18" spans="1:21">
      <c r="A18" s="579"/>
      <c r="B18" s="177"/>
      <c r="C18" s="177"/>
      <c r="D18" s="20"/>
      <c r="F18" s="177"/>
      <c r="G18" s="177"/>
      <c r="H18" s="177"/>
      <c r="I18" s="177"/>
      <c r="K18" s="307"/>
    </row>
    <row r="19" spans="1:21" ht="14.25" customHeight="1">
      <c r="A19" s="1181" t="s">
        <v>521</v>
      </c>
      <c r="B19" s="1181"/>
      <c r="C19" s="1181"/>
      <c r="D19" s="1181"/>
      <c r="E19" s="1181"/>
      <c r="F19" s="1181"/>
      <c r="G19" s="1181"/>
      <c r="H19" s="1181"/>
      <c r="I19" s="1181"/>
      <c r="J19" s="1181"/>
      <c r="K19" s="1181"/>
      <c r="L19" s="11"/>
      <c r="M19" s="11"/>
      <c r="N19" s="11"/>
      <c r="O19" s="11"/>
      <c r="P19" s="11"/>
      <c r="Q19" s="11"/>
      <c r="R19" s="11"/>
      <c r="S19" s="11"/>
      <c r="T19" s="11"/>
      <c r="U19" s="11"/>
    </row>
    <row r="20" spans="1:21">
      <c r="K20" s="198" t="s">
        <v>452</v>
      </c>
    </row>
    <row r="21" spans="1:21" ht="13.5" customHeight="1">
      <c r="A21" s="1194" t="s">
        <v>615</v>
      </c>
      <c r="B21" s="1237" t="s">
        <v>1215</v>
      </c>
      <c r="C21" s="1239"/>
      <c r="D21" s="1239"/>
      <c r="E21" s="1239"/>
      <c r="F21" s="1238"/>
      <c r="G21" s="1193" t="s">
        <v>1216</v>
      </c>
      <c r="H21" s="1191"/>
      <c r="I21" s="1191"/>
      <c r="J21" s="1191"/>
      <c r="K21" s="1192"/>
    </row>
    <row r="22" spans="1:21" ht="13.5" customHeight="1">
      <c r="A22" s="1197"/>
      <c r="B22" s="412">
        <f>District!B10</f>
        <v>2010</v>
      </c>
      <c r="C22" s="445">
        <f>District!C10</f>
        <v>2011</v>
      </c>
      <c r="D22" s="445">
        <f>District!D10</f>
        <v>2012</v>
      </c>
      <c r="E22" s="109">
        <f>District!E10</f>
        <v>2013</v>
      </c>
      <c r="F22" s="109">
        <f>District!F10</f>
        <v>2014</v>
      </c>
      <c r="G22" s="445">
        <f>District!B10</f>
        <v>2010</v>
      </c>
      <c r="H22" s="445">
        <f>District!C10</f>
        <v>2011</v>
      </c>
      <c r="I22" s="109">
        <f>District!D10</f>
        <v>2012</v>
      </c>
      <c r="J22" s="109">
        <f>District!E10</f>
        <v>2013</v>
      </c>
      <c r="K22" s="109">
        <f>District!F10</f>
        <v>2014</v>
      </c>
    </row>
    <row r="23" spans="1:21" ht="13.5" customHeight="1">
      <c r="A23" s="213" t="s">
        <v>418</v>
      </c>
      <c r="B23" s="221" t="s">
        <v>537</v>
      </c>
      <c r="C23" s="215" t="s">
        <v>538</v>
      </c>
      <c r="D23" s="459" t="s">
        <v>539</v>
      </c>
      <c r="E23" s="215" t="s">
        <v>540</v>
      </c>
      <c r="F23" s="216" t="s">
        <v>542</v>
      </c>
      <c r="G23" s="311" t="s">
        <v>543</v>
      </c>
      <c r="H23" s="215" t="s">
        <v>545</v>
      </c>
      <c r="I23" s="459" t="s">
        <v>544</v>
      </c>
      <c r="J23" s="215" t="s">
        <v>918</v>
      </c>
      <c r="K23" s="215" t="s">
        <v>919</v>
      </c>
    </row>
    <row r="24" spans="1:21" ht="15" customHeight="1">
      <c r="A24" s="33" t="s">
        <v>1207</v>
      </c>
      <c r="B24" s="536">
        <v>16</v>
      </c>
      <c r="C24" s="224">
        <v>18</v>
      </c>
      <c r="D24" s="225">
        <v>39</v>
      </c>
      <c r="E24" s="580">
        <v>11</v>
      </c>
      <c r="F24" s="225">
        <v>9</v>
      </c>
      <c r="G24" s="536">
        <v>52</v>
      </c>
      <c r="H24" s="224">
        <v>181</v>
      </c>
      <c r="I24" s="490">
        <v>86</v>
      </c>
      <c r="J24" s="224">
        <v>3</v>
      </c>
      <c r="K24" s="225">
        <v>31</v>
      </c>
    </row>
    <row r="25" spans="1:21" ht="15" customHeight="1">
      <c r="A25" s="33" t="s">
        <v>1208</v>
      </c>
      <c r="B25" s="432" t="s">
        <v>906</v>
      </c>
      <c r="C25" s="184">
        <v>7</v>
      </c>
      <c r="D25" s="433" t="s">
        <v>906</v>
      </c>
      <c r="E25" s="432" t="s">
        <v>906</v>
      </c>
      <c r="F25" s="108" t="s">
        <v>1127</v>
      </c>
      <c r="G25" s="189">
        <v>12</v>
      </c>
      <c r="H25" s="183">
        <v>22</v>
      </c>
      <c r="I25" s="184">
        <v>87</v>
      </c>
      <c r="J25" s="183">
        <v>1</v>
      </c>
      <c r="K25" s="183">
        <v>20</v>
      </c>
    </row>
    <row r="26" spans="1:21" ht="15" customHeight="1">
      <c r="A26" s="33" t="s">
        <v>1209</v>
      </c>
      <c r="B26" s="432" t="s">
        <v>906</v>
      </c>
      <c r="C26" s="184">
        <v>1</v>
      </c>
      <c r="D26" s="184">
        <v>3</v>
      </c>
      <c r="E26" s="189">
        <v>1</v>
      </c>
      <c r="F26" s="989" t="s">
        <v>1127</v>
      </c>
      <c r="G26" s="373">
        <v>25</v>
      </c>
      <c r="H26" s="371">
        <v>31</v>
      </c>
      <c r="I26" s="417">
        <v>55</v>
      </c>
      <c r="J26" s="371">
        <v>6</v>
      </c>
      <c r="K26" s="371">
        <v>21</v>
      </c>
    </row>
    <row r="27" spans="1:21" ht="15" customHeight="1">
      <c r="A27" s="250" t="s">
        <v>1210</v>
      </c>
      <c r="B27" s="432" t="s">
        <v>906</v>
      </c>
      <c r="C27" s="433" t="s">
        <v>906</v>
      </c>
      <c r="D27" s="184">
        <v>2</v>
      </c>
      <c r="E27" s="184" t="s">
        <v>1127</v>
      </c>
      <c r="F27" s="989" t="s">
        <v>1127</v>
      </c>
      <c r="G27" s="536">
        <v>6</v>
      </c>
      <c r="H27" s="224">
        <v>14</v>
      </c>
      <c r="I27" s="490">
        <v>9</v>
      </c>
      <c r="J27" s="224">
        <v>4</v>
      </c>
      <c r="K27" s="224">
        <v>22</v>
      </c>
    </row>
    <row r="28" spans="1:21" ht="15" customHeight="1">
      <c r="A28" s="250" t="s">
        <v>1211</v>
      </c>
      <c r="B28" s="224">
        <v>10</v>
      </c>
      <c r="C28" s="490">
        <v>15</v>
      </c>
      <c r="D28" s="224">
        <v>11</v>
      </c>
      <c r="E28" s="536" t="s">
        <v>1127</v>
      </c>
      <c r="F28" s="224">
        <v>17</v>
      </c>
      <c r="G28" s="536">
        <v>950</v>
      </c>
      <c r="H28" s="224">
        <v>1281</v>
      </c>
      <c r="I28" s="490">
        <v>727</v>
      </c>
      <c r="J28" s="224">
        <v>620</v>
      </c>
      <c r="K28" s="224">
        <v>351</v>
      </c>
    </row>
    <row r="29" spans="1:21" ht="15" customHeight="1">
      <c r="A29" s="250" t="s">
        <v>1212</v>
      </c>
      <c r="B29" s="627">
        <v>5</v>
      </c>
      <c r="C29" s="490">
        <v>5</v>
      </c>
      <c r="D29" s="224">
        <v>6</v>
      </c>
      <c r="E29" s="536" t="s">
        <v>1127</v>
      </c>
      <c r="F29" s="990" t="s">
        <v>1127</v>
      </c>
      <c r="G29" s="536">
        <v>130</v>
      </c>
      <c r="H29" s="224">
        <v>715</v>
      </c>
      <c r="I29" s="490">
        <v>156</v>
      </c>
      <c r="J29" s="224">
        <v>108</v>
      </c>
      <c r="K29" s="224">
        <v>285</v>
      </c>
    </row>
    <row r="30" spans="1:21" ht="15" customHeight="1">
      <c r="A30" s="250" t="s">
        <v>882</v>
      </c>
      <c r="B30" s="536" t="s">
        <v>906</v>
      </c>
      <c r="C30" s="183" t="s">
        <v>906</v>
      </c>
      <c r="D30" s="183" t="s">
        <v>906</v>
      </c>
      <c r="E30" s="189">
        <v>10285</v>
      </c>
      <c r="F30" s="989" t="s">
        <v>1127</v>
      </c>
      <c r="G30" s="536">
        <v>35</v>
      </c>
      <c r="H30" s="183" t="s">
        <v>906</v>
      </c>
      <c r="I30" s="184" t="s">
        <v>906</v>
      </c>
      <c r="J30" s="183">
        <v>59</v>
      </c>
      <c r="K30" s="989" t="s">
        <v>1127</v>
      </c>
    </row>
    <row r="31" spans="1:21" ht="27.75" customHeight="1">
      <c r="A31" s="250" t="s">
        <v>883</v>
      </c>
      <c r="B31" s="536">
        <v>15</v>
      </c>
      <c r="C31" s="224">
        <v>34</v>
      </c>
      <c r="D31" s="224">
        <v>26</v>
      </c>
      <c r="E31" s="536">
        <v>45</v>
      </c>
      <c r="F31" s="224">
        <v>11</v>
      </c>
      <c r="G31" s="536">
        <v>380</v>
      </c>
      <c r="H31" s="224">
        <v>600</v>
      </c>
      <c r="I31" s="490">
        <v>628</v>
      </c>
      <c r="J31" s="224">
        <v>673</v>
      </c>
      <c r="K31" s="224">
        <v>375</v>
      </c>
    </row>
    <row r="32" spans="1:21" ht="15" customHeight="1">
      <c r="A32" s="211" t="s">
        <v>592</v>
      </c>
      <c r="B32" s="536">
        <v>6</v>
      </c>
      <c r="C32" s="224">
        <v>28</v>
      </c>
      <c r="D32" s="224">
        <v>57</v>
      </c>
      <c r="E32" s="536">
        <v>19</v>
      </c>
      <c r="F32" s="228">
        <v>32</v>
      </c>
      <c r="G32" s="536">
        <v>1090</v>
      </c>
      <c r="H32" s="224">
        <v>429</v>
      </c>
      <c r="I32" s="490">
        <v>1150</v>
      </c>
      <c r="J32" s="224">
        <v>2013</v>
      </c>
      <c r="K32" s="224">
        <v>917</v>
      </c>
    </row>
    <row r="33" spans="1:11" ht="15" customHeight="1">
      <c r="A33" s="179" t="s">
        <v>439</v>
      </c>
      <c r="B33" s="180">
        <f t="shared" ref="B33:K33" si="1">SUM(B24:B32)</f>
        <v>52</v>
      </c>
      <c r="C33" s="180">
        <f t="shared" si="1"/>
        <v>108</v>
      </c>
      <c r="D33" s="180">
        <f t="shared" si="1"/>
        <v>144</v>
      </c>
      <c r="E33" s="180">
        <f t="shared" si="1"/>
        <v>10361</v>
      </c>
      <c r="F33" s="180">
        <f t="shared" si="1"/>
        <v>69</v>
      </c>
      <c r="G33" s="179">
        <f t="shared" si="1"/>
        <v>2680</v>
      </c>
      <c r="H33" s="179">
        <f t="shared" si="1"/>
        <v>3273</v>
      </c>
      <c r="I33" s="179">
        <f t="shared" si="1"/>
        <v>2898</v>
      </c>
      <c r="J33" s="179">
        <f t="shared" si="1"/>
        <v>3487</v>
      </c>
      <c r="K33" s="179">
        <f t="shared" si="1"/>
        <v>2022</v>
      </c>
    </row>
    <row r="34" spans="1:11">
      <c r="G34" s="830"/>
      <c r="H34" s="830"/>
      <c r="I34" s="830"/>
      <c r="J34" s="830"/>
      <c r="K34" s="715" t="str">
        <f>CONCATENATE("Source : Superintendent of Police, ",    District!$A$1)</f>
        <v>Source : Superintendent of Police, Bankura</v>
      </c>
    </row>
  </sheetData>
  <mergeCells count="9">
    <mergeCell ref="G21:K21"/>
    <mergeCell ref="A21:A22"/>
    <mergeCell ref="A2:K2"/>
    <mergeCell ref="B21:F21"/>
    <mergeCell ref="A1:K1"/>
    <mergeCell ref="A19:K19"/>
    <mergeCell ref="A4:A5"/>
    <mergeCell ref="B4:F4"/>
    <mergeCell ref="G4:K4"/>
  </mergeCells>
  <phoneticPr fontId="0" type="noConversion"/>
  <conditionalFormatting sqref="C1:F22 F35:F65536 B24:E65536 F23:F33 A1:A1048576 B1:B23 C23:E23 G1:IV1048576">
    <cfRule type="cellIs" dxfId="3" priority="1" stopIfTrue="1" operator="equal">
      <formula>".."</formula>
    </cfRule>
  </conditionalFormatting>
  <printOptions horizontalCentered="1" verticalCentered="1"/>
  <pageMargins left="0.1" right="0.1" top="0.1" bottom="0.1" header="0.7" footer="0.1"/>
  <pageSetup paperSize="9" orientation="landscape" r:id="rId1"/>
  <headerFooter alignWithMargins="0"/>
</worksheet>
</file>

<file path=xl/worksheets/sheet72.xml><?xml version="1.0" encoding="utf-8"?>
<worksheet xmlns="http://schemas.openxmlformats.org/spreadsheetml/2006/main" xmlns:r="http://schemas.openxmlformats.org/officeDocument/2006/relationships">
  <sheetPr codeName="Sheet61"/>
  <dimension ref="A1:U47"/>
  <sheetViews>
    <sheetView topLeftCell="A13" workbookViewId="0">
      <selection activeCell="M30" sqref="M30"/>
    </sheetView>
  </sheetViews>
  <sheetFormatPr defaultRowHeight="12.75"/>
  <cols>
    <col min="1" max="1" width="22.42578125" style="172" customWidth="1"/>
    <col min="2" max="11" width="11.42578125" style="172" customWidth="1"/>
    <col min="12" max="16384" width="9.140625" style="172"/>
  </cols>
  <sheetData>
    <row r="1" spans="1:21" ht="16.5" customHeight="1">
      <c r="A1" s="1181" t="s">
        <v>841</v>
      </c>
      <c r="B1" s="1181"/>
      <c r="C1" s="1181"/>
      <c r="D1" s="1181"/>
      <c r="E1" s="1181"/>
      <c r="F1" s="1181"/>
      <c r="G1" s="1181"/>
      <c r="H1" s="1181"/>
      <c r="I1" s="1181"/>
      <c r="J1" s="1181"/>
      <c r="K1" s="1181"/>
    </row>
    <row r="2" spans="1:21" ht="18" customHeight="1">
      <c r="A2" s="1231" t="str">
        <f>CONCATENATE("Police Stations and Out-posts in different Sub-divisions in the district of ",District!$A$1)</f>
        <v>Police Stations and Out-posts in different Sub-divisions in the district of Bankura</v>
      </c>
      <c r="B2" s="1231"/>
      <c r="C2" s="1231"/>
      <c r="D2" s="1231"/>
      <c r="E2" s="1231"/>
      <c r="F2" s="1231"/>
      <c r="G2" s="1231"/>
      <c r="H2" s="1231"/>
      <c r="I2" s="1231"/>
      <c r="J2" s="1231"/>
      <c r="K2" s="1231"/>
      <c r="L2" s="10"/>
      <c r="M2" s="10"/>
      <c r="N2" s="10"/>
      <c r="O2" s="10"/>
      <c r="P2" s="10"/>
      <c r="Q2" s="10"/>
      <c r="R2" s="10"/>
      <c r="S2" s="10"/>
      <c r="T2" s="10"/>
    </row>
    <row r="3" spans="1:21" ht="12.75" customHeight="1">
      <c r="A3" s="266"/>
      <c r="B3" s="266"/>
      <c r="C3" s="266"/>
      <c r="D3" s="266"/>
      <c r="E3" s="266"/>
      <c r="F3" s="266"/>
      <c r="G3" s="266"/>
      <c r="H3" s="266"/>
      <c r="I3" s="266"/>
      <c r="J3" s="266"/>
      <c r="K3" s="113" t="s">
        <v>452</v>
      </c>
      <c r="T3" s="196"/>
    </row>
    <row r="4" spans="1:21" ht="13.5" customHeight="1">
      <c r="A4" s="1194" t="s">
        <v>1614</v>
      </c>
      <c r="B4" s="1193" t="s">
        <v>1417</v>
      </c>
      <c r="C4" s="1191"/>
      <c r="D4" s="1191"/>
      <c r="E4" s="1191"/>
      <c r="F4" s="1192"/>
      <c r="G4" s="1193" t="s">
        <v>1418</v>
      </c>
      <c r="H4" s="1191"/>
      <c r="I4" s="1191"/>
      <c r="J4" s="1191"/>
      <c r="K4" s="1192"/>
      <c r="M4" s="24"/>
      <c r="N4" s="24"/>
      <c r="O4" s="24"/>
      <c r="P4" s="24"/>
      <c r="Q4" s="24"/>
      <c r="R4" s="24"/>
      <c r="S4" s="24"/>
      <c r="T4" s="24"/>
      <c r="U4" s="24"/>
    </row>
    <row r="5" spans="1:21" ht="13.5" customHeight="1">
      <c r="A5" s="1217"/>
      <c r="B5" s="644">
        <f>District!B10</f>
        <v>2010</v>
      </c>
      <c r="C5" s="832">
        <f>District!C10</f>
        <v>2011</v>
      </c>
      <c r="D5" s="832">
        <f>District!D10</f>
        <v>2012</v>
      </c>
      <c r="E5" s="109">
        <f>District!E10</f>
        <v>2013</v>
      </c>
      <c r="F5" s="109">
        <f>District!F10</f>
        <v>2014</v>
      </c>
      <c r="G5" s="832">
        <f>District!B10</f>
        <v>2010</v>
      </c>
      <c r="H5" s="832">
        <f>District!C10</f>
        <v>2011</v>
      </c>
      <c r="I5" s="109">
        <f>District!D10</f>
        <v>2012</v>
      </c>
      <c r="J5" s="109">
        <f>District!E10</f>
        <v>2013</v>
      </c>
      <c r="K5" s="109">
        <f>District!F10</f>
        <v>2014</v>
      </c>
      <c r="M5" s="24"/>
      <c r="N5" s="177"/>
      <c r="O5" s="24"/>
      <c r="P5" s="177"/>
      <c r="Q5" s="24"/>
      <c r="R5" s="177"/>
      <c r="S5" s="24"/>
      <c r="T5" s="177"/>
      <c r="U5" s="24"/>
    </row>
    <row r="6" spans="1:21" ht="13.5" customHeight="1">
      <c r="A6" s="221" t="s">
        <v>418</v>
      </c>
      <c r="B6" s="221" t="s">
        <v>419</v>
      </c>
      <c r="C6" s="213" t="s">
        <v>420</v>
      </c>
      <c r="D6" s="459" t="s">
        <v>421</v>
      </c>
      <c r="E6" s="213" t="s">
        <v>422</v>
      </c>
      <c r="F6" s="214" t="s">
        <v>423</v>
      </c>
      <c r="G6" s="221" t="s">
        <v>424</v>
      </c>
      <c r="H6" s="213" t="s">
        <v>440</v>
      </c>
      <c r="I6" s="222" t="s">
        <v>441</v>
      </c>
      <c r="J6" s="213" t="s">
        <v>442</v>
      </c>
      <c r="K6" s="213" t="s">
        <v>443</v>
      </c>
      <c r="M6" s="506"/>
      <c r="N6" s="177"/>
      <c r="O6" s="506"/>
      <c r="P6" s="177"/>
      <c r="Q6" s="506"/>
      <c r="R6" s="177"/>
      <c r="S6" s="506"/>
      <c r="T6" s="177"/>
      <c r="U6" s="506"/>
    </row>
    <row r="7" spans="1:21" ht="21.75" customHeight="1">
      <c r="A7" s="29" t="s">
        <v>594</v>
      </c>
      <c r="B7" s="648">
        <v>8</v>
      </c>
      <c r="C7" s="432">
        <v>8</v>
      </c>
      <c r="D7" s="576">
        <v>8</v>
      </c>
      <c r="E7" s="577">
        <v>9</v>
      </c>
      <c r="F7" s="433">
        <v>9</v>
      </c>
      <c r="G7" s="183">
        <v>10</v>
      </c>
      <c r="H7" s="183">
        <v>10</v>
      </c>
      <c r="I7" s="189">
        <v>9</v>
      </c>
      <c r="J7" s="183">
        <v>10</v>
      </c>
      <c r="K7" s="223">
        <v>10</v>
      </c>
      <c r="M7" s="329"/>
      <c r="N7" s="177"/>
      <c r="O7" s="329"/>
      <c r="P7" s="177"/>
      <c r="Q7" s="329"/>
      <c r="R7" s="177"/>
      <c r="S7" s="329"/>
      <c r="T7" s="177"/>
      <c r="U7" s="329"/>
    </row>
    <row r="8" spans="1:21" ht="21.75" customHeight="1">
      <c r="A8" s="29" t="s">
        <v>604</v>
      </c>
      <c r="B8" s="648">
        <v>9</v>
      </c>
      <c r="C8" s="432">
        <v>9</v>
      </c>
      <c r="D8" s="576">
        <v>9</v>
      </c>
      <c r="E8" s="432">
        <v>9</v>
      </c>
      <c r="F8" s="433">
        <v>9</v>
      </c>
      <c r="G8" s="183">
        <v>9</v>
      </c>
      <c r="H8" s="183">
        <v>9</v>
      </c>
      <c r="I8" s="189">
        <v>9</v>
      </c>
      <c r="J8" s="183">
        <v>9</v>
      </c>
      <c r="K8" s="183">
        <v>9</v>
      </c>
      <c r="M8" s="329"/>
      <c r="N8" s="177"/>
      <c r="O8" s="329"/>
      <c r="P8" s="177"/>
      <c r="Q8" s="329"/>
      <c r="R8" s="177"/>
      <c r="S8" s="329"/>
      <c r="T8" s="177"/>
      <c r="U8" s="329"/>
    </row>
    <row r="9" spans="1:21" ht="21.75" customHeight="1">
      <c r="A9" s="337" t="s">
        <v>350</v>
      </c>
      <c r="B9" s="648">
        <v>6</v>
      </c>
      <c r="C9" s="432">
        <v>6</v>
      </c>
      <c r="D9" s="576">
        <v>6</v>
      </c>
      <c r="E9" s="578">
        <v>6</v>
      </c>
      <c r="F9" s="433">
        <v>6</v>
      </c>
      <c r="G9" s="248">
        <v>6</v>
      </c>
      <c r="H9" s="248">
        <v>6</v>
      </c>
      <c r="I9" s="189">
        <v>6</v>
      </c>
      <c r="J9" s="248">
        <v>6</v>
      </c>
      <c r="K9" s="248">
        <v>6</v>
      </c>
      <c r="M9" s="329"/>
      <c r="N9" s="177"/>
      <c r="O9" s="329"/>
      <c r="P9" s="177"/>
      <c r="Q9" s="329"/>
      <c r="R9" s="177"/>
      <c r="S9" s="329"/>
      <c r="T9" s="177"/>
      <c r="U9" s="329"/>
    </row>
    <row r="10" spans="1:21" ht="21.75" customHeight="1">
      <c r="A10" s="209" t="s">
        <v>1500</v>
      </c>
      <c r="B10" s="209">
        <f t="shared" ref="B10:K10" si="0">SUM(B7:B9)</f>
        <v>23</v>
      </c>
      <c r="C10" s="179">
        <f t="shared" si="0"/>
        <v>23</v>
      </c>
      <c r="D10" s="208">
        <f t="shared" si="0"/>
        <v>23</v>
      </c>
      <c r="E10" s="179">
        <f t="shared" si="0"/>
        <v>24</v>
      </c>
      <c r="F10" s="180">
        <f t="shared" si="0"/>
        <v>24</v>
      </c>
      <c r="G10" s="180">
        <f t="shared" si="0"/>
        <v>25</v>
      </c>
      <c r="H10" s="180">
        <f t="shared" si="0"/>
        <v>25</v>
      </c>
      <c r="I10" s="180">
        <f t="shared" si="0"/>
        <v>24</v>
      </c>
      <c r="J10" s="180">
        <f t="shared" si="0"/>
        <v>25</v>
      </c>
      <c r="K10" s="180">
        <f t="shared" si="0"/>
        <v>25</v>
      </c>
      <c r="M10" s="24"/>
      <c r="N10" s="177"/>
      <c r="O10" s="24"/>
      <c r="P10" s="177"/>
      <c r="Q10" s="24"/>
      <c r="R10" s="177"/>
      <c r="S10" s="24"/>
      <c r="T10" s="177"/>
      <c r="U10" s="24"/>
    </row>
    <row r="11" spans="1:21" ht="15.75" customHeight="1">
      <c r="A11" s="265"/>
      <c r="B11" s="306"/>
      <c r="C11" s="306"/>
      <c r="D11" s="99"/>
      <c r="E11" s="266"/>
      <c r="F11" s="306"/>
      <c r="G11" s="306"/>
      <c r="H11" s="266"/>
      <c r="I11" s="24"/>
      <c r="J11" s="24"/>
      <c r="K11" s="713" t="s">
        <v>522</v>
      </c>
    </row>
    <row r="12" spans="1:21" ht="12" customHeight="1">
      <c r="A12" s="265"/>
      <c r="B12" s="306"/>
      <c r="C12" s="306"/>
      <c r="D12" s="99"/>
      <c r="E12" s="266"/>
      <c r="F12" s="306"/>
      <c r="G12" s="306"/>
      <c r="H12" s="266"/>
      <c r="I12" s="24"/>
      <c r="J12" s="24"/>
      <c r="K12" s="113"/>
    </row>
    <row r="13" spans="1:21" ht="13.5" customHeight="1">
      <c r="A13" s="265"/>
      <c r="B13" s="1181" t="s">
        <v>842</v>
      </c>
      <c r="C13" s="1181"/>
      <c r="D13" s="1181"/>
      <c r="E13" s="1181"/>
      <c r="F13" s="1181"/>
      <c r="G13" s="1181"/>
      <c r="H13" s="1181"/>
      <c r="I13" s="1181"/>
      <c r="J13" s="1181"/>
      <c r="K13" s="113"/>
    </row>
    <row r="14" spans="1:21" ht="18" customHeight="1">
      <c r="A14" s="266"/>
      <c r="B14" s="1189" t="str">
        <f>CONCATENATE("Strength of Police Force by category in the district of ",District!$A$1)</f>
        <v>Strength of Police Force by category in the district of Bankura</v>
      </c>
      <c r="C14" s="1189"/>
      <c r="D14" s="1189"/>
      <c r="E14" s="1189"/>
      <c r="F14" s="1189"/>
      <c r="G14" s="1189"/>
      <c r="H14" s="1189"/>
      <c r="I14" s="1189"/>
      <c r="J14" s="1189"/>
      <c r="K14" s="12"/>
      <c r="L14" s="19"/>
      <c r="M14" s="19"/>
      <c r="N14" s="19"/>
      <c r="O14" s="19"/>
      <c r="P14" s="19"/>
      <c r="Q14" s="19"/>
      <c r="R14" s="19"/>
      <c r="S14" s="19"/>
    </row>
    <row r="15" spans="1:21" ht="13.5" customHeight="1">
      <c r="A15" s="266"/>
      <c r="B15" s="266"/>
      <c r="C15" s="16"/>
      <c r="D15" s="88"/>
      <c r="E15" s="88"/>
      <c r="F15" s="88"/>
      <c r="G15" s="266"/>
      <c r="H15" s="266"/>
      <c r="I15" s="113" t="s">
        <v>452</v>
      </c>
      <c r="K15" s="113"/>
      <c r="O15" s="8"/>
      <c r="P15" s="8"/>
      <c r="Q15" s="8"/>
    </row>
    <row r="16" spans="1:21" ht="14.25" customHeight="1">
      <c r="A16" s="1194" t="s">
        <v>1193</v>
      </c>
      <c r="B16" s="1237" t="s">
        <v>304</v>
      </c>
      <c r="C16" s="1239"/>
      <c r="D16" s="1239"/>
      <c r="E16" s="1239"/>
      <c r="F16" s="1239"/>
      <c r="G16" s="1239"/>
      <c r="H16" s="1239"/>
      <c r="I16" s="1239"/>
      <c r="J16" s="1239"/>
      <c r="K16" s="1238"/>
    </row>
    <row r="17" spans="1:11" ht="15" customHeight="1">
      <c r="A17" s="1217"/>
      <c r="B17" s="1205">
        <f>District!B13</f>
        <v>2010</v>
      </c>
      <c r="C17" s="1206"/>
      <c r="D17" s="1205">
        <f>District!D13</f>
        <v>2011</v>
      </c>
      <c r="E17" s="1206"/>
      <c r="F17" s="1205">
        <f>District!F13</f>
        <v>2012</v>
      </c>
      <c r="G17" s="1206"/>
      <c r="H17" s="1205">
        <f>District!H13</f>
        <v>2013</v>
      </c>
      <c r="I17" s="1206"/>
      <c r="J17" s="1561">
        <f>District!J13</f>
        <v>2014</v>
      </c>
      <c r="K17" s="1206"/>
    </row>
    <row r="18" spans="1:11" ht="15.75" customHeight="1">
      <c r="A18" s="297" t="s">
        <v>418</v>
      </c>
      <c r="B18" s="1201" t="s">
        <v>419</v>
      </c>
      <c r="C18" s="1257"/>
      <c r="D18" s="1201" t="s">
        <v>420</v>
      </c>
      <c r="E18" s="1257"/>
      <c r="F18" s="1412" t="s">
        <v>421</v>
      </c>
      <c r="G18" s="1413"/>
      <c r="H18" s="1201" t="s">
        <v>422</v>
      </c>
      <c r="I18" s="1257"/>
      <c r="J18" s="1202" t="s">
        <v>423</v>
      </c>
      <c r="K18" s="1257"/>
    </row>
    <row r="19" spans="1:11" ht="15.75" customHeight="1">
      <c r="A19" s="187" t="s">
        <v>702</v>
      </c>
      <c r="B19" s="1375">
        <v>1</v>
      </c>
      <c r="C19" s="1376"/>
      <c r="D19" s="1375">
        <v>1</v>
      </c>
      <c r="E19" s="1376"/>
      <c r="F19" s="1375">
        <v>1</v>
      </c>
      <c r="G19" s="1376"/>
      <c r="H19" s="1375">
        <v>1</v>
      </c>
      <c r="I19" s="1376"/>
      <c r="J19" s="1249">
        <v>1</v>
      </c>
      <c r="K19" s="1409"/>
    </row>
    <row r="20" spans="1:11" ht="15.75" customHeight="1">
      <c r="A20" s="187" t="s">
        <v>1285</v>
      </c>
      <c r="B20" s="1248">
        <v>1</v>
      </c>
      <c r="C20" s="1409"/>
      <c r="D20" s="1248">
        <v>1</v>
      </c>
      <c r="E20" s="1409"/>
      <c r="F20" s="1248">
        <v>1</v>
      </c>
      <c r="G20" s="1409"/>
      <c r="H20" s="1248">
        <v>1</v>
      </c>
      <c r="I20" s="1409"/>
      <c r="J20" s="1249">
        <v>1</v>
      </c>
      <c r="K20" s="1409"/>
    </row>
    <row r="21" spans="1:11" ht="15.75" customHeight="1">
      <c r="A21" s="187" t="s">
        <v>1286</v>
      </c>
      <c r="B21" s="1248">
        <v>4</v>
      </c>
      <c r="C21" s="1409"/>
      <c r="D21" s="1248">
        <v>5</v>
      </c>
      <c r="E21" s="1409"/>
      <c r="F21" s="1248">
        <v>4</v>
      </c>
      <c r="G21" s="1409"/>
      <c r="H21" s="1248">
        <v>4</v>
      </c>
      <c r="I21" s="1409"/>
      <c r="J21" s="1249">
        <v>4</v>
      </c>
      <c r="K21" s="1409"/>
    </row>
    <row r="22" spans="1:11" ht="15.75" customHeight="1">
      <c r="A22" s="187" t="s">
        <v>703</v>
      </c>
      <c r="B22" s="1248">
        <v>2</v>
      </c>
      <c r="C22" s="1409"/>
      <c r="D22" s="1248">
        <v>2</v>
      </c>
      <c r="E22" s="1409"/>
      <c r="F22" s="1248">
        <v>2</v>
      </c>
      <c r="G22" s="1409"/>
      <c r="H22" s="1248">
        <v>2</v>
      </c>
      <c r="I22" s="1409"/>
      <c r="J22" s="1249">
        <v>2</v>
      </c>
      <c r="K22" s="1409"/>
    </row>
    <row r="23" spans="1:11" ht="15.75" customHeight="1">
      <c r="A23" s="187" t="s">
        <v>704</v>
      </c>
      <c r="B23" s="1248">
        <v>23</v>
      </c>
      <c r="C23" s="1409"/>
      <c r="D23" s="1248">
        <v>25</v>
      </c>
      <c r="E23" s="1409"/>
      <c r="F23" s="1248">
        <v>22</v>
      </c>
      <c r="G23" s="1409"/>
      <c r="H23" s="1248">
        <v>17</v>
      </c>
      <c r="I23" s="1409"/>
      <c r="J23" s="1249">
        <v>18</v>
      </c>
      <c r="K23" s="1409"/>
    </row>
    <row r="24" spans="1:11" ht="15.75" customHeight="1">
      <c r="A24" s="187" t="s">
        <v>705</v>
      </c>
      <c r="B24" s="1248">
        <v>107</v>
      </c>
      <c r="C24" s="1409"/>
      <c r="D24" s="1248">
        <v>134</v>
      </c>
      <c r="E24" s="1409"/>
      <c r="F24" s="1248">
        <v>123</v>
      </c>
      <c r="G24" s="1409"/>
      <c r="H24" s="1248">
        <v>125</v>
      </c>
      <c r="I24" s="1409"/>
      <c r="J24" s="1249">
        <v>120</v>
      </c>
      <c r="K24" s="1409"/>
    </row>
    <row r="25" spans="1:11" ht="15.75" customHeight="1">
      <c r="A25" s="187" t="s">
        <v>706</v>
      </c>
      <c r="B25" s="1248">
        <v>7</v>
      </c>
      <c r="C25" s="1409"/>
      <c r="D25" s="1248">
        <v>8</v>
      </c>
      <c r="E25" s="1409"/>
      <c r="F25" s="1248">
        <v>6</v>
      </c>
      <c r="G25" s="1409"/>
      <c r="H25" s="1248">
        <v>4</v>
      </c>
      <c r="I25" s="1409"/>
      <c r="J25" s="1249">
        <v>3</v>
      </c>
      <c r="K25" s="1409"/>
    </row>
    <row r="26" spans="1:11" ht="15.75" customHeight="1">
      <c r="A26" s="187" t="s">
        <v>707</v>
      </c>
      <c r="B26" s="1559">
        <v>160</v>
      </c>
      <c r="C26" s="1560"/>
      <c r="D26" s="1559">
        <v>197</v>
      </c>
      <c r="E26" s="1560"/>
      <c r="F26" s="1188" t="s">
        <v>906</v>
      </c>
      <c r="G26" s="1200"/>
      <c r="H26" s="1562" t="s">
        <v>1127</v>
      </c>
      <c r="I26" s="1563"/>
      <c r="J26" s="1181" t="s">
        <v>1127</v>
      </c>
      <c r="K26" s="1563"/>
    </row>
    <row r="27" spans="1:11" ht="25.5" customHeight="1">
      <c r="A27" s="187" t="s">
        <v>1096</v>
      </c>
      <c r="B27" s="1248">
        <v>52</v>
      </c>
      <c r="C27" s="1409"/>
      <c r="D27" s="1248">
        <v>82</v>
      </c>
      <c r="E27" s="1409"/>
      <c r="F27" s="1248">
        <v>272</v>
      </c>
      <c r="G27" s="1409"/>
      <c r="H27" s="1248">
        <v>272</v>
      </c>
      <c r="I27" s="1409"/>
      <c r="J27" s="1249">
        <v>246</v>
      </c>
      <c r="K27" s="1409"/>
    </row>
    <row r="28" spans="1:11" ht="25.5" customHeight="1">
      <c r="A28" s="187" t="s">
        <v>1097</v>
      </c>
      <c r="B28" s="1248"/>
      <c r="C28" s="1409"/>
      <c r="D28" s="1248"/>
      <c r="E28" s="1409"/>
      <c r="F28" s="1248"/>
      <c r="G28" s="1409"/>
      <c r="H28" s="1248"/>
      <c r="I28" s="1409"/>
      <c r="J28" s="1249"/>
      <c r="K28" s="1409"/>
    </row>
    <row r="29" spans="1:11" ht="15.75" customHeight="1">
      <c r="A29" s="187" t="s">
        <v>1291</v>
      </c>
      <c r="B29" s="1248">
        <v>1</v>
      </c>
      <c r="C29" s="1409"/>
      <c r="D29" s="1248" t="s">
        <v>1127</v>
      </c>
      <c r="E29" s="1409"/>
      <c r="F29" s="1559" t="s">
        <v>1127</v>
      </c>
      <c r="G29" s="1560"/>
      <c r="H29" s="1248" t="s">
        <v>1127</v>
      </c>
      <c r="I29" s="1409"/>
      <c r="J29" s="1249" t="s">
        <v>1127</v>
      </c>
      <c r="K29" s="1409"/>
    </row>
    <row r="30" spans="1:11" ht="15.75" customHeight="1">
      <c r="A30" s="947" t="s">
        <v>708</v>
      </c>
      <c r="B30" s="1268">
        <v>1545</v>
      </c>
      <c r="C30" s="1416"/>
      <c r="D30" s="1268">
        <v>1437</v>
      </c>
      <c r="E30" s="1416"/>
      <c r="F30" s="1268">
        <v>2279</v>
      </c>
      <c r="G30" s="1416"/>
      <c r="H30" s="1268">
        <v>2323</v>
      </c>
      <c r="I30" s="1416"/>
      <c r="J30" s="1269">
        <v>2254</v>
      </c>
      <c r="K30" s="1416"/>
    </row>
    <row r="31" spans="1:11" ht="15" customHeight="1">
      <c r="A31" s="948" t="s">
        <v>439</v>
      </c>
      <c r="B31" s="1305">
        <f>SUM(B19:B30)</f>
        <v>1903</v>
      </c>
      <c r="C31" s="1369"/>
      <c r="D31" s="1305">
        <f>SUM(D19:D30)</f>
        <v>1892</v>
      </c>
      <c r="E31" s="1369"/>
      <c r="F31" s="1305">
        <f>SUM(F19:F30)</f>
        <v>2710</v>
      </c>
      <c r="G31" s="1369"/>
      <c r="H31" s="1305">
        <f>SUM(H19:H30)</f>
        <v>2749</v>
      </c>
      <c r="I31" s="1369"/>
      <c r="J31" s="1368">
        <f>SUM(J19:J30)</f>
        <v>2649</v>
      </c>
      <c r="K31" s="1369"/>
    </row>
    <row r="32" spans="1:11">
      <c r="A32" s="266"/>
      <c r="B32" s="266"/>
      <c r="C32" s="266"/>
      <c r="D32" s="266"/>
      <c r="E32" s="266"/>
      <c r="F32" s="266"/>
      <c r="G32" s="266"/>
      <c r="H32" s="266"/>
      <c r="K32" s="713" t="str">
        <f>CONCATENATE("Source : Superintendent of Police, ",District!$A$1)</f>
        <v>Source : Superintendent of Police, Bankura</v>
      </c>
    </row>
    <row r="36" spans="4:11">
      <c r="D36"/>
      <c r="E36"/>
      <c r="F36"/>
      <c r="G36"/>
      <c r="H36"/>
      <c r="I36"/>
      <c r="J36"/>
      <c r="K36"/>
    </row>
    <row r="37" spans="4:11">
      <c r="D37"/>
      <c r="E37"/>
      <c r="F37"/>
      <c r="G37"/>
      <c r="H37"/>
      <c r="I37"/>
      <c r="J37"/>
      <c r="K37"/>
    </row>
    <row r="38" spans="4:11">
      <c r="D38"/>
      <c r="E38"/>
      <c r="F38"/>
      <c r="G38"/>
      <c r="H38"/>
      <c r="I38"/>
      <c r="J38"/>
      <c r="K38"/>
    </row>
    <row r="39" spans="4:11">
      <c r="D39"/>
      <c r="E39"/>
      <c r="F39"/>
      <c r="G39"/>
      <c r="H39"/>
      <c r="I39"/>
      <c r="J39"/>
      <c r="K39"/>
    </row>
    <row r="40" spans="4:11">
      <c r="D40"/>
      <c r="E40"/>
      <c r="F40"/>
      <c r="G40"/>
      <c r="H40"/>
      <c r="I40"/>
      <c r="J40"/>
      <c r="K40"/>
    </row>
    <row r="41" spans="4:11">
      <c r="D41"/>
      <c r="E41"/>
      <c r="F41"/>
      <c r="G41"/>
      <c r="H41"/>
      <c r="I41"/>
      <c r="J41"/>
      <c r="K41"/>
    </row>
    <row r="42" spans="4:11">
      <c r="D42"/>
      <c r="E42"/>
      <c r="F42"/>
      <c r="G42"/>
      <c r="H42"/>
      <c r="I42"/>
      <c r="J42"/>
      <c r="K42"/>
    </row>
    <row r="43" spans="4:11">
      <c r="D43"/>
      <c r="E43"/>
      <c r="F43"/>
      <c r="G43"/>
      <c r="H43"/>
      <c r="I43"/>
      <c r="J43"/>
      <c r="K43"/>
    </row>
    <row r="44" spans="4:11">
      <c r="D44"/>
      <c r="E44"/>
      <c r="F44"/>
      <c r="G44"/>
      <c r="H44"/>
      <c r="I44"/>
      <c r="J44"/>
      <c r="K44"/>
    </row>
    <row r="45" spans="4:11">
      <c r="D45"/>
      <c r="E45"/>
      <c r="F45"/>
      <c r="G45"/>
      <c r="H45"/>
      <c r="I45"/>
      <c r="J45"/>
      <c r="K45"/>
    </row>
    <row r="46" spans="4:11">
      <c r="D46"/>
      <c r="E46"/>
      <c r="F46"/>
      <c r="G46"/>
      <c r="H46"/>
      <c r="I46"/>
      <c r="J46"/>
      <c r="K46"/>
    </row>
    <row r="47" spans="4:11">
      <c r="D47"/>
      <c r="E47"/>
      <c r="F47"/>
      <c r="G47"/>
      <c r="H47"/>
      <c r="I47"/>
      <c r="J47"/>
      <c r="K47"/>
    </row>
  </sheetData>
  <mergeCells count="79">
    <mergeCell ref="J25:K25"/>
    <mergeCell ref="J26:K26"/>
    <mergeCell ref="A1:K1"/>
    <mergeCell ref="B13:J13"/>
    <mergeCell ref="G4:K4"/>
    <mergeCell ref="A4:A5"/>
    <mergeCell ref="A2:K2"/>
    <mergeCell ref="B4:F4"/>
    <mergeCell ref="B26:C26"/>
    <mergeCell ref="B14:J14"/>
    <mergeCell ref="B18:C18"/>
    <mergeCell ref="D18:E18"/>
    <mergeCell ref="B24:C24"/>
    <mergeCell ref="B25:C25"/>
    <mergeCell ref="D24:E24"/>
    <mergeCell ref="D25:E25"/>
    <mergeCell ref="H29:I29"/>
    <mergeCell ref="J29:K29"/>
    <mergeCell ref="H27:I28"/>
    <mergeCell ref="J27:K28"/>
    <mergeCell ref="H26:I26"/>
    <mergeCell ref="B20:C20"/>
    <mergeCell ref="B21:C21"/>
    <mergeCell ref="D23:E23"/>
    <mergeCell ref="H24:I24"/>
    <mergeCell ref="H25:I25"/>
    <mergeCell ref="A16:A17"/>
    <mergeCell ref="B17:C17"/>
    <mergeCell ref="D17:E17"/>
    <mergeCell ref="B19:C19"/>
    <mergeCell ref="D19:E19"/>
    <mergeCell ref="B16:K16"/>
    <mergeCell ref="H17:I17"/>
    <mergeCell ref="J17:K17"/>
    <mergeCell ref="H18:I18"/>
    <mergeCell ref="J18:K18"/>
    <mergeCell ref="B27:C28"/>
    <mergeCell ref="B29:C29"/>
    <mergeCell ref="B30:C30"/>
    <mergeCell ref="B31:C31"/>
    <mergeCell ref="F17:G17"/>
    <mergeCell ref="F18:G18"/>
    <mergeCell ref="B22:C22"/>
    <mergeCell ref="B23:C23"/>
    <mergeCell ref="D27:E28"/>
    <mergeCell ref="F27:G28"/>
    <mergeCell ref="F24:G24"/>
    <mergeCell ref="F25:G25"/>
    <mergeCell ref="F26:G26"/>
    <mergeCell ref="D20:E20"/>
    <mergeCell ref="D21:E21"/>
    <mergeCell ref="D22:E22"/>
    <mergeCell ref="D30:E30"/>
    <mergeCell ref="D31:E31"/>
    <mergeCell ref="F19:G19"/>
    <mergeCell ref="F20:G20"/>
    <mergeCell ref="F21:G21"/>
    <mergeCell ref="F22:G22"/>
    <mergeCell ref="F23:G23"/>
    <mergeCell ref="F30:G30"/>
    <mergeCell ref="D29:E29"/>
    <mergeCell ref="F29:G29"/>
    <mergeCell ref="D26:E26"/>
    <mergeCell ref="J30:K30"/>
    <mergeCell ref="F31:G31"/>
    <mergeCell ref="H19:I19"/>
    <mergeCell ref="H20:I20"/>
    <mergeCell ref="H21:I21"/>
    <mergeCell ref="H22:I22"/>
    <mergeCell ref="H23:I23"/>
    <mergeCell ref="J31:K31"/>
    <mergeCell ref="H30:I30"/>
    <mergeCell ref="H31:I31"/>
    <mergeCell ref="J19:K19"/>
    <mergeCell ref="J20:K20"/>
    <mergeCell ref="J21:K21"/>
    <mergeCell ref="J22:K22"/>
    <mergeCell ref="J23:K23"/>
    <mergeCell ref="J24:K24"/>
  </mergeCells>
  <phoneticPr fontId="0" type="noConversion"/>
  <conditionalFormatting sqref="H1:K5 L1:IV1048576 I31 G1:G6 D17:K17 H6:J6 K6:K16 D1:F16 G7:J16 B1:C18 B31:C65536 A1:A1048576 E31:E35 I33:I35 D48:K65536 J18:K35 H19:I30 B29:B30 D29:D35 F29:F35 D18:I18 D19:D27 F19:F27 B19:B27 G31:H35">
    <cfRule type="cellIs" dxfId="2" priority="1" stopIfTrue="1" operator="equal">
      <formula>".."</formula>
    </cfRule>
  </conditionalFormatting>
  <printOptions horizontalCentered="1" verticalCentered="1"/>
  <pageMargins left="0.1" right="0.1" top="0.1" bottom="0.1" header="0.6" footer="0.1"/>
  <pageSetup paperSize="9" orientation="landscape" r:id="rId1"/>
  <headerFooter alignWithMargins="0"/>
  <drawing r:id="rId2"/>
</worksheet>
</file>

<file path=xl/worksheets/sheet73.xml><?xml version="1.0" encoding="utf-8"?>
<worksheet xmlns="http://schemas.openxmlformats.org/spreadsheetml/2006/main" xmlns:r="http://schemas.openxmlformats.org/officeDocument/2006/relationships">
  <sheetPr codeName="Sheet92"/>
  <dimension ref="A1:M20"/>
  <sheetViews>
    <sheetView topLeftCell="A10" workbookViewId="0">
      <selection activeCell="M30" sqref="M30"/>
    </sheetView>
  </sheetViews>
  <sheetFormatPr defaultRowHeight="12.75"/>
  <cols>
    <col min="1" max="1" width="16.5703125" style="172" customWidth="1"/>
    <col min="2" max="2" width="12.7109375" style="172" customWidth="1"/>
    <col min="3" max="4" width="9.42578125" style="172" customWidth="1"/>
    <col min="5" max="5" width="11.42578125" style="172" customWidth="1"/>
    <col min="6" max="6" width="9.42578125" style="172" customWidth="1"/>
    <col min="7" max="7" width="11.42578125" style="172" customWidth="1"/>
    <col min="8" max="8" width="9.42578125" style="172" customWidth="1"/>
    <col min="9" max="9" width="11.42578125" style="172" customWidth="1"/>
    <col min="10" max="10" width="9.42578125" style="172" customWidth="1"/>
    <col min="11" max="11" width="11.42578125" style="172" customWidth="1"/>
    <col min="12" max="12" width="9.42578125" style="172" customWidth="1"/>
    <col min="13" max="13" width="11.42578125" style="172" customWidth="1"/>
    <col min="14" max="16384" width="9.140625" style="172"/>
  </cols>
  <sheetData>
    <row r="1" spans="1:13" ht="15.75" customHeight="1">
      <c r="A1" s="1181" t="s">
        <v>837</v>
      </c>
      <c r="B1" s="1181"/>
      <c r="C1" s="1181"/>
      <c r="D1" s="1181"/>
      <c r="E1" s="1181"/>
      <c r="F1" s="1181"/>
      <c r="G1" s="1181"/>
      <c r="H1" s="1181"/>
      <c r="I1" s="1181"/>
      <c r="J1" s="1181"/>
      <c r="K1" s="1181"/>
      <c r="L1" s="1181"/>
      <c r="M1" s="1181"/>
    </row>
    <row r="2" spans="1:13" s="206" customFormat="1" ht="18.75" customHeight="1">
      <c r="A2" s="1189" t="str">
        <f>CONCATENATE("Population, Receipt &amp; Expenditure of Municipalities in the district of ",District!$A$1)</f>
        <v>Population, Receipt &amp; Expenditure of Municipalities in the district of Bankura</v>
      </c>
      <c r="B2" s="1189"/>
      <c r="C2" s="1189"/>
      <c r="D2" s="1189"/>
      <c r="E2" s="1189"/>
      <c r="F2" s="1189"/>
      <c r="G2" s="1189"/>
      <c r="H2" s="1189"/>
      <c r="I2" s="1189"/>
      <c r="J2" s="1189"/>
      <c r="K2" s="1189"/>
      <c r="L2" s="1189"/>
      <c r="M2" s="1189"/>
    </row>
    <row r="3" spans="1:13" ht="18" customHeight="1">
      <c r="A3" s="206"/>
      <c r="B3" s="289"/>
      <c r="C3" s="289"/>
      <c r="D3" s="289"/>
      <c r="E3" s="289"/>
      <c r="F3" s="289"/>
      <c r="G3" s="289"/>
      <c r="H3" s="289"/>
      <c r="I3" s="289"/>
      <c r="J3" s="289"/>
      <c r="K3" s="289"/>
      <c r="L3" s="289"/>
      <c r="M3" s="198" t="s">
        <v>1536</v>
      </c>
    </row>
    <row r="4" spans="1:13" ht="21" customHeight="1">
      <c r="A4" s="1194" t="s">
        <v>88</v>
      </c>
      <c r="B4" s="1194" t="s">
        <v>1347</v>
      </c>
      <c r="C4" s="1194" t="s">
        <v>4</v>
      </c>
      <c r="D4" s="1193" t="str">
        <f>District!B14</f>
        <v>2009-10</v>
      </c>
      <c r="E4" s="1192"/>
      <c r="F4" s="1193" t="str">
        <f>District!D14</f>
        <v>2010-11</v>
      </c>
      <c r="G4" s="1192"/>
      <c r="H4" s="1193" t="str">
        <f>District!F14</f>
        <v>2011-12</v>
      </c>
      <c r="I4" s="1192"/>
      <c r="J4" s="1193" t="str">
        <f>District!H14</f>
        <v>2012-13</v>
      </c>
      <c r="K4" s="1192"/>
      <c r="L4" s="1193" t="str">
        <f>District!J14</f>
        <v>2013-14</v>
      </c>
      <c r="M4" s="1192"/>
    </row>
    <row r="5" spans="1:13" ht="21" customHeight="1">
      <c r="A5" s="1195"/>
      <c r="B5" s="1195"/>
      <c r="C5" s="1195"/>
      <c r="D5" s="40" t="s">
        <v>391</v>
      </c>
      <c r="E5" s="42" t="s">
        <v>1089</v>
      </c>
      <c r="F5" s="40" t="s">
        <v>391</v>
      </c>
      <c r="G5" s="42" t="s">
        <v>1089</v>
      </c>
      <c r="H5" s="40" t="s">
        <v>391</v>
      </c>
      <c r="I5" s="42" t="s">
        <v>1089</v>
      </c>
      <c r="J5" s="40" t="s">
        <v>391</v>
      </c>
      <c r="K5" s="42" t="s">
        <v>1089</v>
      </c>
      <c r="L5" s="40" t="s">
        <v>391</v>
      </c>
      <c r="M5" s="42" t="s">
        <v>1089</v>
      </c>
    </row>
    <row r="6" spans="1:13" ht="18" customHeight="1">
      <c r="A6" s="213" t="s">
        <v>418</v>
      </c>
      <c r="B6" s="214" t="s">
        <v>419</v>
      </c>
      <c r="C6" s="214" t="s">
        <v>420</v>
      </c>
      <c r="D6" s="222" t="s">
        <v>421</v>
      </c>
      <c r="E6" s="214" t="s">
        <v>422</v>
      </c>
      <c r="F6" s="221" t="s">
        <v>423</v>
      </c>
      <c r="G6" s="214" t="s">
        <v>424</v>
      </c>
      <c r="H6" s="221" t="s">
        <v>440</v>
      </c>
      <c r="I6" s="214" t="s">
        <v>441</v>
      </c>
      <c r="J6" s="221" t="s">
        <v>442</v>
      </c>
      <c r="K6" s="214" t="s">
        <v>443</v>
      </c>
      <c r="L6" s="459" t="s">
        <v>537</v>
      </c>
      <c r="M6" s="216" t="s">
        <v>538</v>
      </c>
    </row>
    <row r="7" spans="1:13" ht="32.25" customHeight="1">
      <c r="A7" s="58" t="s">
        <v>1188</v>
      </c>
      <c r="B7" s="58" t="s">
        <v>652</v>
      </c>
      <c r="C7" s="909">
        <v>137386</v>
      </c>
      <c r="D7" s="245">
        <v>242910</v>
      </c>
      <c r="E7" s="192">
        <v>242910</v>
      </c>
      <c r="F7" s="245">
        <v>209548</v>
      </c>
      <c r="G7" s="192">
        <v>183127</v>
      </c>
      <c r="H7" s="857">
        <v>542365.05099999998</v>
      </c>
      <c r="I7" s="858">
        <v>447909.1</v>
      </c>
      <c r="J7" s="857">
        <v>289856.32</v>
      </c>
      <c r="K7" s="858">
        <v>224238</v>
      </c>
      <c r="L7" s="857">
        <v>400604</v>
      </c>
      <c r="M7" s="858">
        <v>112251</v>
      </c>
    </row>
    <row r="8" spans="1:13" ht="32.25" customHeight="1">
      <c r="A8" s="33" t="s">
        <v>350</v>
      </c>
      <c r="B8" s="33" t="s">
        <v>653</v>
      </c>
      <c r="C8" s="909">
        <v>67783</v>
      </c>
      <c r="D8" s="29" t="s">
        <v>906</v>
      </c>
      <c r="E8" s="39" t="s">
        <v>906</v>
      </c>
      <c r="F8" s="29" t="s">
        <v>906</v>
      </c>
      <c r="G8" s="39" t="s">
        <v>906</v>
      </c>
      <c r="H8" s="57">
        <v>90783.277000000002</v>
      </c>
      <c r="I8" s="572">
        <v>71134.691999999995</v>
      </c>
      <c r="J8" s="57">
        <v>151298.32500000001</v>
      </c>
      <c r="K8" s="572">
        <v>111351.94899999999</v>
      </c>
      <c r="L8" s="57">
        <v>262936</v>
      </c>
      <c r="M8" s="572">
        <v>183620</v>
      </c>
    </row>
    <row r="9" spans="1:13" ht="32.25" customHeight="1">
      <c r="A9" s="33" t="s">
        <v>353</v>
      </c>
      <c r="B9" s="33" t="s">
        <v>654</v>
      </c>
      <c r="C9" s="909">
        <v>29085</v>
      </c>
      <c r="D9" s="247">
        <v>120647</v>
      </c>
      <c r="E9" s="194">
        <v>86114</v>
      </c>
      <c r="F9" s="247">
        <v>108912</v>
      </c>
      <c r="G9" s="194">
        <v>94049</v>
      </c>
      <c r="H9" s="551">
        <v>91174.070999999996</v>
      </c>
      <c r="I9" s="552">
        <v>84770.142999999996</v>
      </c>
      <c r="J9" s="551">
        <v>96331.971999999994</v>
      </c>
      <c r="K9" s="552">
        <v>83484.654999999999</v>
      </c>
      <c r="L9" s="551">
        <v>221915</v>
      </c>
      <c r="M9" s="552">
        <v>155460</v>
      </c>
    </row>
    <row r="10" spans="1:13">
      <c r="A10" s="571"/>
      <c r="B10" s="571"/>
      <c r="C10" s="571"/>
      <c r="K10" s="2"/>
      <c r="L10" s="2"/>
      <c r="M10" s="703" t="s">
        <v>713</v>
      </c>
    </row>
    <row r="13" spans="1:13" ht="17.25" customHeight="1">
      <c r="A13" s="1181" t="s">
        <v>838</v>
      </c>
      <c r="B13" s="1181"/>
      <c r="C13" s="1181"/>
      <c r="D13" s="1181"/>
      <c r="E13" s="1181"/>
      <c r="F13" s="1181"/>
      <c r="G13" s="1181"/>
      <c r="H13" s="1181"/>
      <c r="I13" s="1181"/>
      <c r="J13" s="1181"/>
      <c r="K13" s="1181"/>
      <c r="L13" s="1181"/>
      <c r="M13" s="1181"/>
    </row>
    <row r="14" spans="1:13" s="206" customFormat="1" ht="17.25" customHeight="1">
      <c r="A14" s="1535" t="str">
        <f>CONCATENATE("Receipt &amp; Expenditure of ",District!$A$1," Zilla Parishad")</f>
        <v>Receipt &amp; Expenditure of Bankura Zilla Parishad</v>
      </c>
      <c r="B14" s="1535"/>
      <c r="C14" s="1535"/>
      <c r="D14" s="1535"/>
      <c r="E14" s="1535"/>
      <c r="F14" s="1535"/>
      <c r="G14" s="1535"/>
      <c r="H14" s="1535"/>
      <c r="I14" s="1535"/>
      <c r="J14" s="1535"/>
      <c r="K14" s="1535"/>
      <c r="L14" s="1535"/>
      <c r="M14" s="1535"/>
    </row>
    <row r="15" spans="1:13" ht="17.25" customHeight="1">
      <c r="A15" s="206"/>
      <c r="B15" s="289"/>
      <c r="C15" s="289"/>
      <c r="D15" s="289"/>
      <c r="E15" s="289"/>
      <c r="F15" s="289"/>
      <c r="G15" s="289"/>
      <c r="H15" s="289"/>
      <c r="I15" s="289"/>
      <c r="J15" s="289"/>
      <c r="K15" s="289"/>
      <c r="L15" s="206"/>
      <c r="M15" s="219" t="s">
        <v>1536</v>
      </c>
    </row>
    <row r="16" spans="1:13" ht="21" customHeight="1">
      <c r="A16" s="1194" t="s">
        <v>908</v>
      </c>
      <c r="B16" s="1258" t="s">
        <v>907</v>
      </c>
      <c r="C16" s="1260"/>
      <c r="D16" s="1193" t="str">
        <f>District!B14</f>
        <v>2009-10</v>
      </c>
      <c r="E16" s="1192"/>
      <c r="F16" s="1193" t="str">
        <f>District!D14</f>
        <v>2010-11</v>
      </c>
      <c r="G16" s="1192"/>
      <c r="H16" s="1193" t="str">
        <f>District!F14</f>
        <v>2011-12</v>
      </c>
      <c r="I16" s="1192"/>
      <c r="J16" s="1193" t="str">
        <f>District!H14</f>
        <v>2012-13</v>
      </c>
      <c r="K16" s="1192"/>
      <c r="L16" s="1193" t="str">
        <f>District!J14</f>
        <v>2013-14</v>
      </c>
      <c r="M16" s="1192"/>
    </row>
    <row r="17" spans="1:13" ht="21" customHeight="1">
      <c r="A17" s="1195"/>
      <c r="B17" s="1261"/>
      <c r="C17" s="1263"/>
      <c r="D17" s="207" t="s">
        <v>391</v>
      </c>
      <c r="E17" s="261" t="s">
        <v>1089</v>
      </c>
      <c r="F17" s="207" t="s">
        <v>391</v>
      </c>
      <c r="G17" s="261" t="s">
        <v>1089</v>
      </c>
      <c r="H17" s="207" t="s">
        <v>391</v>
      </c>
      <c r="I17" s="261" t="s">
        <v>1089</v>
      </c>
      <c r="J17" s="207" t="s">
        <v>391</v>
      </c>
      <c r="K17" s="261" t="s">
        <v>1089</v>
      </c>
      <c r="L17" s="250" t="s">
        <v>391</v>
      </c>
      <c r="M17" s="261" t="s">
        <v>1089</v>
      </c>
    </row>
    <row r="18" spans="1:13" ht="18" customHeight="1">
      <c r="A18" s="213" t="s">
        <v>418</v>
      </c>
      <c r="B18" s="1201" t="s">
        <v>419</v>
      </c>
      <c r="C18" s="1257"/>
      <c r="D18" s="213" t="s">
        <v>420</v>
      </c>
      <c r="E18" s="214" t="s">
        <v>421</v>
      </c>
      <c r="F18" s="213" t="s">
        <v>422</v>
      </c>
      <c r="G18" s="214" t="s">
        <v>423</v>
      </c>
      <c r="H18" s="213" t="s">
        <v>424</v>
      </c>
      <c r="I18" s="214" t="s">
        <v>440</v>
      </c>
      <c r="J18" s="213" t="s">
        <v>441</v>
      </c>
      <c r="K18" s="214" t="s">
        <v>442</v>
      </c>
      <c r="L18" s="213" t="s">
        <v>443</v>
      </c>
      <c r="M18" s="216" t="s">
        <v>537</v>
      </c>
    </row>
    <row r="19" spans="1:13" ht="52.5" customHeight="1">
      <c r="A19" s="212" t="s">
        <v>1188</v>
      </c>
      <c r="B19" s="1201" t="s">
        <v>310</v>
      </c>
      <c r="C19" s="1257"/>
      <c r="D19" s="471">
        <v>2018609</v>
      </c>
      <c r="E19" s="553">
        <v>2112363</v>
      </c>
      <c r="F19" s="471">
        <v>2199519</v>
      </c>
      <c r="G19" s="553">
        <v>2053375</v>
      </c>
      <c r="H19" s="880">
        <v>1594731.2690000001</v>
      </c>
      <c r="I19" s="953">
        <v>1338048.7709999999</v>
      </c>
      <c r="J19" s="879">
        <v>1771913</v>
      </c>
      <c r="K19" s="880">
        <v>1788914</v>
      </c>
      <c r="L19" s="879">
        <v>1965158.767</v>
      </c>
      <c r="M19" s="880">
        <v>1648330.442</v>
      </c>
    </row>
    <row r="20" spans="1:13" ht="17.25" customHeight="1">
      <c r="A20" s="317"/>
      <c r="B20" s="317"/>
      <c r="C20" s="317"/>
      <c r="J20" s="2"/>
      <c r="K20" s="2"/>
      <c r="M20" s="721" t="str">
        <f>CONCATENATE("Source : Zilla Parishad, ",District!$A$1)</f>
        <v>Source : Zilla Parishad, Bankura</v>
      </c>
    </row>
  </sheetData>
  <mergeCells count="21">
    <mergeCell ref="A14:M14"/>
    <mergeCell ref="B4:B5"/>
    <mergeCell ref="L16:M16"/>
    <mergeCell ref="A16:A17"/>
    <mergeCell ref="H16:I16"/>
    <mergeCell ref="J16:K16"/>
    <mergeCell ref="B19:C19"/>
    <mergeCell ref="D16:E16"/>
    <mergeCell ref="B18:C18"/>
    <mergeCell ref="F16:G16"/>
    <mergeCell ref="B16:C17"/>
    <mergeCell ref="A1:M1"/>
    <mergeCell ref="A13:M13"/>
    <mergeCell ref="F4:G4"/>
    <mergeCell ref="L4:M4"/>
    <mergeCell ref="A2:M2"/>
    <mergeCell ref="J4:K4"/>
    <mergeCell ref="A4:A5"/>
    <mergeCell ref="D4:E4"/>
    <mergeCell ref="H4:I4"/>
    <mergeCell ref="C4:C5"/>
  </mergeCells>
  <phoneticPr fontId="0" type="noConversion"/>
  <conditionalFormatting sqref="A1:XFD1048576">
    <cfRule type="cellIs" dxfId="1" priority="1" stopIfTrue="1" operator="equal">
      <formula>".."</formula>
    </cfRule>
  </conditionalFormatting>
  <printOptions horizontalCentered="1"/>
  <pageMargins left="0.1" right="0.1" top="1" bottom="0.1" header="0.72" footer="0.14000000000000001"/>
  <pageSetup paperSize="9" scale="96" orientation="landscape" r:id="rId1"/>
  <headerFooter alignWithMargins="0"/>
</worksheet>
</file>

<file path=xl/worksheets/sheet74.xml><?xml version="1.0" encoding="utf-8"?>
<worksheet xmlns="http://schemas.openxmlformats.org/spreadsheetml/2006/main" xmlns:r="http://schemas.openxmlformats.org/officeDocument/2006/relationships">
  <sheetPr codeName="Sheet65"/>
  <dimension ref="A1:M17"/>
  <sheetViews>
    <sheetView workbookViewId="0">
      <selection activeCell="M30" sqref="M30"/>
    </sheetView>
  </sheetViews>
  <sheetFormatPr defaultRowHeight="12.75"/>
  <cols>
    <col min="1" max="1" width="16.28515625" style="206" customWidth="1"/>
    <col min="2" max="12" width="11.140625" style="206" customWidth="1"/>
    <col min="13" max="16384" width="9.140625" style="206"/>
  </cols>
  <sheetData>
    <row r="1" spans="1:13" s="172" customFormat="1" ht="15.75" customHeight="1">
      <c r="A1" s="1564" t="s">
        <v>836</v>
      </c>
      <c r="B1" s="1564"/>
      <c r="C1" s="1564"/>
      <c r="D1" s="1564"/>
      <c r="E1" s="1564"/>
      <c r="F1" s="1564"/>
      <c r="G1" s="1564"/>
      <c r="H1" s="1564"/>
      <c r="I1" s="1564"/>
      <c r="J1" s="1564"/>
      <c r="K1" s="1564"/>
      <c r="L1" s="1564"/>
    </row>
    <row r="2" spans="1:13" ht="18" customHeight="1">
      <c r="A2" s="1226" t="str">
        <f>CONCATENATE("Revenue collected from different sources in the district of ",District!$A$1)</f>
        <v>Revenue collected from different sources in the district of Bankura</v>
      </c>
      <c r="B2" s="1226"/>
      <c r="C2" s="1226"/>
      <c r="D2" s="1226"/>
      <c r="E2" s="1226"/>
      <c r="F2" s="1226"/>
      <c r="G2" s="1226"/>
      <c r="H2" s="1226"/>
      <c r="I2" s="1226"/>
      <c r="J2" s="1226"/>
      <c r="K2" s="1226"/>
      <c r="L2" s="1226"/>
    </row>
    <row r="3" spans="1:13" s="172" customFormat="1">
      <c r="A3" s="206"/>
      <c r="B3" s="289"/>
      <c r="C3" s="289"/>
      <c r="D3" s="289"/>
      <c r="E3" s="289"/>
      <c r="F3" s="289"/>
      <c r="G3" s="289"/>
      <c r="H3" s="289"/>
      <c r="I3" s="288"/>
      <c r="J3" s="289"/>
      <c r="K3" s="289"/>
      <c r="L3" s="198" t="s">
        <v>1536</v>
      </c>
    </row>
    <row r="4" spans="1:13" s="172" customFormat="1" ht="54" customHeight="1">
      <c r="A4" s="117" t="s">
        <v>304</v>
      </c>
      <c r="B4" s="274" t="s">
        <v>1353</v>
      </c>
      <c r="C4" s="207" t="s">
        <v>1415</v>
      </c>
      <c r="D4" s="229" t="s">
        <v>1354</v>
      </c>
      <c r="E4" s="207" t="s">
        <v>1414</v>
      </c>
      <c r="F4" s="263" t="s">
        <v>1355</v>
      </c>
      <c r="G4" s="263" t="s">
        <v>1357</v>
      </c>
      <c r="H4" s="229" t="s">
        <v>1356</v>
      </c>
      <c r="I4" s="207" t="s">
        <v>491</v>
      </c>
      <c r="J4" s="229" t="s">
        <v>490</v>
      </c>
      <c r="K4" s="207" t="s">
        <v>492</v>
      </c>
      <c r="L4" s="207" t="s">
        <v>439</v>
      </c>
    </row>
    <row r="5" spans="1:13" s="172" customFormat="1" ht="17.25" customHeight="1">
      <c r="A5" s="221" t="s">
        <v>418</v>
      </c>
      <c r="B5" s="161" t="s">
        <v>419</v>
      </c>
      <c r="C5" s="297" t="s">
        <v>420</v>
      </c>
      <c r="D5" s="162" t="s">
        <v>421</v>
      </c>
      <c r="E5" s="297" t="s">
        <v>422</v>
      </c>
      <c r="F5" s="297" t="s">
        <v>423</v>
      </c>
      <c r="G5" s="297" t="s">
        <v>424</v>
      </c>
      <c r="H5" s="162" t="s">
        <v>440</v>
      </c>
      <c r="I5" s="297" t="s">
        <v>441</v>
      </c>
      <c r="J5" s="162" t="s">
        <v>442</v>
      </c>
      <c r="K5" s="297" t="s">
        <v>443</v>
      </c>
      <c r="L5" s="297" t="s">
        <v>537</v>
      </c>
    </row>
    <row r="6" spans="1:13" s="266" customFormat="1" ht="41.25" customHeight="1">
      <c r="A6" s="226" t="str">
        <f>District!B16</f>
        <v>2009-10</v>
      </c>
      <c r="B6" s="183">
        <v>145307</v>
      </c>
      <c r="C6" s="189">
        <v>270612</v>
      </c>
      <c r="D6" s="183">
        <v>59415</v>
      </c>
      <c r="E6" s="189">
        <v>187227</v>
      </c>
      <c r="F6" s="183">
        <v>106012</v>
      </c>
      <c r="G6" s="245">
        <v>2510</v>
      </c>
      <c r="H6" s="183">
        <v>18284</v>
      </c>
      <c r="I6" s="189" t="s">
        <v>906</v>
      </c>
      <c r="J6" s="183">
        <v>61004</v>
      </c>
      <c r="K6" s="183">
        <v>1669</v>
      </c>
      <c r="L6" s="39">
        <f>SUM(B6:K6)</f>
        <v>852040</v>
      </c>
    </row>
    <row r="7" spans="1:13" s="266" customFormat="1" ht="41.25" customHeight="1">
      <c r="A7" s="226" t="str">
        <f>District!B17</f>
        <v>2010-11</v>
      </c>
      <c r="B7" s="183">
        <v>131250</v>
      </c>
      <c r="C7" s="189">
        <v>377990</v>
      </c>
      <c r="D7" s="183">
        <v>71290</v>
      </c>
      <c r="E7" s="189">
        <v>191660</v>
      </c>
      <c r="F7" s="183">
        <v>128040</v>
      </c>
      <c r="G7" s="246">
        <v>1710</v>
      </c>
      <c r="H7" s="183">
        <v>1120</v>
      </c>
      <c r="I7" s="189" t="s">
        <v>906</v>
      </c>
      <c r="J7" s="183">
        <v>74310</v>
      </c>
      <c r="K7" s="183">
        <v>1404</v>
      </c>
      <c r="L7" s="39">
        <f>SUM(B7:K7)</f>
        <v>978774</v>
      </c>
    </row>
    <row r="8" spans="1:13" s="266" customFormat="1" ht="41.25" customHeight="1">
      <c r="A8" s="226" t="str">
        <f>District!B18</f>
        <v>2011-12</v>
      </c>
      <c r="B8" s="183">
        <v>231115</v>
      </c>
      <c r="C8" s="189">
        <v>379982</v>
      </c>
      <c r="D8" s="183">
        <v>22315</v>
      </c>
      <c r="E8" s="189">
        <v>207950</v>
      </c>
      <c r="F8" s="183">
        <v>141241</v>
      </c>
      <c r="G8" s="246">
        <v>1788</v>
      </c>
      <c r="H8" s="183">
        <v>1368</v>
      </c>
      <c r="I8" s="189" t="s">
        <v>906</v>
      </c>
      <c r="J8" s="183">
        <v>79577</v>
      </c>
      <c r="K8" s="183">
        <v>20401</v>
      </c>
      <c r="L8" s="39">
        <f>SUM(B8:K8)</f>
        <v>1085737</v>
      </c>
    </row>
    <row r="9" spans="1:13" s="266" customFormat="1" ht="41.25" customHeight="1">
      <c r="A9" s="226" t="str">
        <f>District!B19</f>
        <v>2012-13</v>
      </c>
      <c r="B9" s="183">
        <v>306222</v>
      </c>
      <c r="C9" s="189">
        <v>474545</v>
      </c>
      <c r="D9" s="183">
        <v>116180</v>
      </c>
      <c r="E9" s="189">
        <v>292506</v>
      </c>
      <c r="F9" s="183">
        <v>227659</v>
      </c>
      <c r="G9" s="246">
        <v>1802</v>
      </c>
      <c r="H9" s="183">
        <v>9619</v>
      </c>
      <c r="I9" s="189" t="s">
        <v>906</v>
      </c>
      <c r="J9" s="183">
        <v>71867</v>
      </c>
      <c r="K9" s="183">
        <v>23029</v>
      </c>
      <c r="L9" s="39">
        <f>SUM(B9:K9)</f>
        <v>1523429</v>
      </c>
    </row>
    <row r="10" spans="1:13" s="266" customFormat="1" ht="41.25" customHeight="1">
      <c r="A10" s="463" t="str">
        <f>District!B20</f>
        <v>2013-14</v>
      </c>
      <c r="B10" s="247">
        <v>408597</v>
      </c>
      <c r="C10" s="247">
        <v>524793</v>
      </c>
      <c r="D10" s="247">
        <v>90504</v>
      </c>
      <c r="E10" s="247">
        <v>625900</v>
      </c>
      <c r="F10" s="247">
        <v>243166</v>
      </c>
      <c r="G10" s="247">
        <v>2175</v>
      </c>
      <c r="H10" s="247">
        <v>8010</v>
      </c>
      <c r="I10" s="970" t="s">
        <v>1127</v>
      </c>
      <c r="J10" s="247">
        <v>102717</v>
      </c>
      <c r="K10" s="970">
        <v>26429</v>
      </c>
      <c r="L10" s="41">
        <f>SUM(B10:K10)</f>
        <v>2032291</v>
      </c>
    </row>
    <row r="11" spans="1:13" s="172" customFormat="1">
      <c r="A11" s="2"/>
      <c r="I11" s="2"/>
      <c r="J11" s="2"/>
      <c r="K11" s="528"/>
      <c r="L11" s="722" t="s">
        <v>716</v>
      </c>
    </row>
    <row r="12" spans="1:13" s="172" customFormat="1"/>
    <row r="13" spans="1:13" s="172" customFormat="1">
      <c r="M13" s="11"/>
    </row>
    <row r="14" spans="1:13" ht="17.25" customHeight="1">
      <c r="A14" s="172"/>
      <c r="B14" s="172"/>
      <c r="C14" s="172"/>
      <c r="D14" s="172"/>
      <c r="E14" s="172"/>
      <c r="F14" s="172"/>
      <c r="G14" s="172"/>
      <c r="H14" s="172"/>
      <c r="I14" s="172"/>
      <c r="J14" s="172"/>
      <c r="K14" s="172"/>
      <c r="L14" s="172"/>
      <c r="M14" s="160"/>
    </row>
    <row r="15" spans="1:13" ht="11.25" customHeight="1"/>
    <row r="16" spans="1:13" ht="13.5" customHeight="1"/>
    <row r="17" ht="13.5" customHeight="1"/>
  </sheetData>
  <mergeCells count="2">
    <mergeCell ref="A1:L1"/>
    <mergeCell ref="A2:L2"/>
  </mergeCells>
  <phoneticPr fontId="0" type="noConversion"/>
  <conditionalFormatting sqref="A1:XFD1048576">
    <cfRule type="cellIs" dxfId="0" priority="1" stopIfTrue="1" operator="equal">
      <formula>".."</formula>
    </cfRule>
  </conditionalFormatting>
  <printOptions horizontalCentered="1"/>
  <pageMargins left="0.1" right="0.1" top="1.5" bottom="0.1" header="0.53" footer="0.1"/>
  <pageSetup paperSize="9" orientation="landscape" r:id="rId1"/>
  <headerFooter alignWithMargins="0"/>
</worksheet>
</file>

<file path=xl/worksheets/sheet75.xml><?xml version="1.0" encoding="utf-8"?>
<worksheet xmlns="http://schemas.openxmlformats.org/spreadsheetml/2006/main" xmlns:r="http://schemas.openxmlformats.org/officeDocument/2006/relationships">
  <sheetPr codeName="Sheet67"/>
  <dimension ref="A1:E25"/>
  <sheetViews>
    <sheetView workbookViewId="0">
      <selection activeCell="G7" sqref="G7"/>
    </sheetView>
  </sheetViews>
  <sheetFormatPr defaultRowHeight="12.75"/>
  <cols>
    <col min="1" max="1" width="28" style="172" customWidth="1"/>
    <col min="2" max="2" width="18.5703125" style="172" customWidth="1"/>
    <col min="3" max="3" width="9.28515625" style="172" customWidth="1"/>
    <col min="4" max="4" width="26.7109375" style="172" customWidth="1"/>
    <col min="5" max="5" width="24.42578125" style="172" customWidth="1"/>
    <col min="6" max="16384" width="9.140625" style="172"/>
  </cols>
  <sheetData>
    <row r="1" spans="1:5" ht="12.75" customHeight="1">
      <c r="A1" s="1181" t="s">
        <v>835</v>
      </c>
      <c r="B1" s="1181"/>
      <c r="C1" s="1181"/>
      <c r="D1" s="1181"/>
      <c r="E1" s="1181"/>
    </row>
    <row r="2" spans="1:5" s="206" customFormat="1" ht="16.5">
      <c r="A2" s="1565" t="str">
        <f>CONCATENATE("Net Collection from Small Savings in the district of ",District!$A$1)</f>
        <v>Net Collection from Small Savings in the district of Bankura</v>
      </c>
      <c r="B2" s="1565"/>
      <c r="C2" s="1565"/>
      <c r="D2" s="1565"/>
      <c r="E2" s="1565"/>
    </row>
    <row r="3" spans="1:5">
      <c r="A3" s="206"/>
      <c r="B3" s="219" t="s">
        <v>1536</v>
      </c>
      <c r="C3" s="219"/>
      <c r="E3" s="219" t="s">
        <v>1536</v>
      </c>
    </row>
    <row r="4" spans="1:5" ht="18" customHeight="1">
      <c r="A4" s="212" t="s">
        <v>304</v>
      </c>
      <c r="B4" s="230" t="s">
        <v>1419</v>
      </c>
      <c r="C4" s="33"/>
      <c r="D4" s="232" t="s">
        <v>272</v>
      </c>
      <c r="E4" s="212" t="s">
        <v>1419</v>
      </c>
    </row>
    <row r="5" spans="1:5" ht="18" customHeight="1">
      <c r="A5" s="213" t="s">
        <v>418</v>
      </c>
      <c r="B5" s="221" t="s">
        <v>419</v>
      </c>
      <c r="C5" s="83"/>
      <c r="D5" s="214" t="s">
        <v>418</v>
      </c>
      <c r="E5" s="213" t="s">
        <v>419</v>
      </c>
    </row>
    <row r="6" spans="1:5" ht="18" customHeight="1">
      <c r="A6" s="29" t="str">
        <f>District!B16</f>
        <v>2009-10</v>
      </c>
      <c r="B6" s="246">
        <v>2180293</v>
      </c>
      <c r="C6" s="246"/>
      <c r="D6" s="205" t="s">
        <v>366</v>
      </c>
      <c r="E6" s="284">
        <f>SUM(E7:E14)</f>
        <v>297551</v>
      </c>
    </row>
    <row r="7" spans="1:5" ht="18" customHeight="1">
      <c r="A7" s="29" t="str">
        <f>District!B17</f>
        <v>2010-11</v>
      </c>
      <c r="B7" s="246">
        <v>2405084</v>
      </c>
      <c r="C7" s="246"/>
      <c r="D7" s="202" t="s">
        <v>605</v>
      </c>
      <c r="E7" s="281">
        <v>70232</v>
      </c>
    </row>
    <row r="8" spans="1:5" ht="18" customHeight="1">
      <c r="A8" s="29" t="str">
        <f>District!B18</f>
        <v>2011-12</v>
      </c>
      <c r="B8" s="29">
        <v>298230</v>
      </c>
      <c r="C8" s="246"/>
      <c r="D8" s="202" t="s">
        <v>604</v>
      </c>
      <c r="E8" s="281">
        <v>47512</v>
      </c>
    </row>
    <row r="9" spans="1:5" ht="18" customHeight="1">
      <c r="A9" s="29" t="str">
        <f>District!B19</f>
        <v>2012-13</v>
      </c>
      <c r="B9" s="29">
        <v>367333</v>
      </c>
      <c r="C9" s="246"/>
      <c r="D9" s="202" t="s">
        <v>368</v>
      </c>
      <c r="E9" s="281">
        <v>29328</v>
      </c>
    </row>
    <row r="10" spans="1:5" ht="18" customHeight="1">
      <c r="A10" s="56" t="str">
        <f>District!B20</f>
        <v>2013-14</v>
      </c>
      <c r="B10" s="562">
        <f>SUM(B12,E6,E15)</f>
        <v>1386111</v>
      </c>
      <c r="C10" s="24"/>
      <c r="D10" s="202" t="s">
        <v>606</v>
      </c>
      <c r="E10" s="281">
        <v>32841</v>
      </c>
    </row>
    <row r="11" spans="1:5" ht="22.5" customHeight="1">
      <c r="A11" s="56" t="s">
        <v>272</v>
      </c>
      <c r="B11" s="209" t="str">
        <f>"Year :  "     &amp;  A10</f>
        <v>Year :  2013-14</v>
      </c>
      <c r="C11" s="73"/>
      <c r="D11" s="202" t="s">
        <v>347</v>
      </c>
      <c r="E11" s="281">
        <v>33648</v>
      </c>
    </row>
    <row r="12" spans="1:5" ht="20.100000000000001" customHeight="1">
      <c r="A12" s="205" t="s">
        <v>717</v>
      </c>
      <c r="B12" s="851">
        <f>SUM(B13:B21)</f>
        <v>760183</v>
      </c>
      <c r="C12" s="73"/>
      <c r="D12" s="202" t="s">
        <v>369</v>
      </c>
      <c r="E12" s="281">
        <v>32014</v>
      </c>
    </row>
    <row r="13" spans="1:5" ht="20.100000000000001" customHeight="1">
      <c r="A13" s="202" t="s">
        <v>596</v>
      </c>
      <c r="B13" s="281">
        <v>396301</v>
      </c>
      <c r="C13" s="246"/>
      <c r="D13" s="202" t="s">
        <v>349</v>
      </c>
      <c r="E13" s="281">
        <v>33780</v>
      </c>
    </row>
    <row r="14" spans="1:5" ht="20.100000000000001" customHeight="1">
      <c r="A14" s="202" t="s">
        <v>312</v>
      </c>
      <c r="B14" s="1566">
        <v>55444</v>
      </c>
      <c r="C14" s="246"/>
      <c r="D14" s="202" t="s">
        <v>370</v>
      </c>
      <c r="E14" s="281">
        <v>18196</v>
      </c>
    </row>
    <row r="15" spans="1:5" ht="20.100000000000001" customHeight="1">
      <c r="A15" s="202" t="s">
        <v>595</v>
      </c>
      <c r="B15" s="1566"/>
      <c r="C15" s="246"/>
      <c r="D15" s="344" t="s">
        <v>371</v>
      </c>
      <c r="E15" s="278">
        <f>SUM(E16:E23)</f>
        <v>328377</v>
      </c>
    </row>
    <row r="16" spans="1:5" ht="20.100000000000001" customHeight="1">
      <c r="A16" s="202" t="s">
        <v>597</v>
      </c>
      <c r="B16" s="850">
        <v>71447</v>
      </c>
      <c r="C16" s="246"/>
      <c r="D16" s="202" t="s">
        <v>350</v>
      </c>
      <c r="E16" s="1566">
        <v>149336</v>
      </c>
    </row>
    <row r="17" spans="1:5" ht="20.100000000000001" customHeight="1">
      <c r="A17" s="202" t="s">
        <v>598</v>
      </c>
      <c r="B17" s="850">
        <v>30158</v>
      </c>
      <c r="C17" s="246"/>
      <c r="D17" s="202" t="s">
        <v>1376</v>
      </c>
      <c r="E17" s="1566"/>
    </row>
    <row r="18" spans="1:5" ht="20.100000000000001" customHeight="1">
      <c r="A18" s="202" t="s">
        <v>599</v>
      </c>
      <c r="B18" s="971">
        <v>20445</v>
      </c>
      <c r="C18" s="246"/>
      <c r="D18" s="202" t="s">
        <v>351</v>
      </c>
      <c r="E18" s="281">
        <v>25984</v>
      </c>
    </row>
    <row r="19" spans="1:5" ht="20.100000000000001" customHeight="1">
      <c r="A19" s="202" t="s">
        <v>771</v>
      </c>
      <c r="B19" s="850">
        <v>35912</v>
      </c>
      <c r="C19" s="246"/>
      <c r="D19" s="202" t="s">
        <v>352</v>
      </c>
      <c r="E19" s="281">
        <v>32901</v>
      </c>
    </row>
    <row r="20" spans="1:5" ht="20.100000000000001" customHeight="1">
      <c r="A20" s="202" t="s">
        <v>600</v>
      </c>
      <c r="B20" s="850">
        <v>90262</v>
      </c>
      <c r="C20" s="246"/>
      <c r="D20" s="202" t="s">
        <v>353</v>
      </c>
      <c r="E20" s="1566">
        <v>56565</v>
      </c>
    </row>
    <row r="21" spans="1:5" ht="20.100000000000001" customHeight="1">
      <c r="A21" s="554" t="s">
        <v>602</v>
      </c>
      <c r="B21" s="551">
        <v>60214</v>
      </c>
      <c r="C21" s="246"/>
      <c r="D21" s="202" t="s">
        <v>1377</v>
      </c>
      <c r="E21" s="1566"/>
    </row>
    <row r="22" spans="1:5" ht="20.100000000000001" customHeight="1">
      <c r="A22" s="345"/>
      <c r="B22" s="11"/>
      <c r="C22" s="11"/>
      <c r="D22" s="202" t="s">
        <v>354</v>
      </c>
      <c r="E22" s="560">
        <v>25611</v>
      </c>
    </row>
    <row r="23" spans="1:5" ht="21.75" customHeight="1">
      <c r="A23" s="16"/>
      <c r="B23" s="189"/>
      <c r="C23" s="189"/>
      <c r="D23" s="554" t="s">
        <v>355</v>
      </c>
      <c r="E23" s="283">
        <v>37980</v>
      </c>
    </row>
    <row r="24" spans="1:5" ht="13.5" customHeight="1">
      <c r="A24" s="16"/>
      <c r="B24" s="189"/>
      <c r="C24" s="189"/>
      <c r="D24" s="1236" t="s">
        <v>1703</v>
      </c>
      <c r="E24" s="1236"/>
    </row>
    <row r="25" spans="1:5" ht="9.75" customHeight="1"/>
  </sheetData>
  <mergeCells count="6">
    <mergeCell ref="A2:E2"/>
    <mergeCell ref="A1:E1"/>
    <mergeCell ref="D24:E24"/>
    <mergeCell ref="E16:E17"/>
    <mergeCell ref="E20:E21"/>
    <mergeCell ref="B14:B15"/>
  </mergeCells>
  <phoneticPr fontId="0" type="noConversion"/>
  <printOptions horizontalCentered="1" verticalCentered="1"/>
  <pageMargins left="0.1" right="0.1" top="0.1" bottom="0.1" header="0.5" footer="0.5"/>
  <pageSetup paperSize="9" orientation="landscape" r:id="rId1"/>
  <headerFooter alignWithMargins="0"/>
  <drawing r:id="rId2"/>
</worksheet>
</file>

<file path=xl/worksheets/sheet76.xml><?xml version="1.0" encoding="utf-8"?>
<worksheet xmlns="http://schemas.openxmlformats.org/spreadsheetml/2006/main" xmlns:r="http://schemas.openxmlformats.org/officeDocument/2006/relationships">
  <sheetPr codeName="Sheet70"/>
  <dimension ref="A1"/>
  <sheetViews>
    <sheetView topLeftCell="A7" workbookViewId="0">
      <selection activeCell="M16" sqref="M16"/>
    </sheetView>
  </sheetViews>
  <sheetFormatPr defaultRowHeight="12.75"/>
  <cols>
    <col min="1" max="1" width="107.140625" customWidth="1"/>
  </cols>
  <sheetData>
    <row r="1" spans="1:1" ht="294" customHeight="1">
      <c r="A1" s="69" t="s">
        <v>1490</v>
      </c>
    </row>
  </sheetData>
  <phoneticPr fontId="0" type="noConversion"/>
  <pageMargins left="0.75" right="0.75" top="1" bottom="1" header="0.5" footer="0.5"/>
  <pageSetup orientation="portrait" horizontalDpi="4294967295" r:id="rId1"/>
  <headerFooter alignWithMargins="0"/>
  <drawing r:id="rId2"/>
</worksheet>
</file>

<file path=xl/worksheets/sheet77.xml><?xml version="1.0" encoding="utf-8"?>
<worksheet xmlns="http://schemas.openxmlformats.org/spreadsheetml/2006/main" xmlns:r="http://schemas.openxmlformats.org/officeDocument/2006/relationships">
  <sheetPr codeName="Sheet71"/>
  <dimension ref="A1"/>
  <sheetViews>
    <sheetView zoomScale="75" workbookViewId="0">
      <selection activeCell="O28" sqref="O28"/>
    </sheetView>
  </sheetViews>
  <sheetFormatPr defaultRowHeight="12.75"/>
  <sheetData/>
  <phoneticPr fontId="0" type="noConversion"/>
  <pageMargins left="0.75" right="0.75" top="1" bottom="1" header="0.5" footer="0.5"/>
  <pageSetup paperSize="9" orientation="portrait" r:id="rId1"/>
  <headerFooter alignWithMargins="0"/>
  <drawing r:id="rId2"/>
</worksheet>
</file>

<file path=xl/worksheets/sheet78.xml><?xml version="1.0" encoding="utf-8"?>
<worksheet xmlns="http://schemas.openxmlformats.org/spreadsheetml/2006/main" xmlns:r="http://schemas.openxmlformats.org/officeDocument/2006/relationships">
  <sheetPr codeName="Sheet96"/>
  <dimension ref="B1:H34"/>
  <sheetViews>
    <sheetView workbookViewId="0">
      <selection activeCell="L7" sqref="L7"/>
    </sheetView>
  </sheetViews>
  <sheetFormatPr defaultRowHeight="12.75"/>
  <cols>
    <col min="1" max="1" width="1.5703125" style="172" customWidth="1"/>
    <col min="2" max="2" width="4.85546875" style="172" customWidth="1"/>
    <col min="3" max="3" width="15.85546875" style="172" customWidth="1"/>
    <col min="4" max="4" width="15.28515625" style="172" customWidth="1"/>
    <col min="5" max="7" width="10.85546875" style="172" customWidth="1"/>
    <col min="8" max="8" width="19.85546875" style="172" customWidth="1"/>
    <col min="9" max="16384" width="9.140625" style="172"/>
  </cols>
  <sheetData>
    <row r="1" spans="2:8" ht="15.75" customHeight="1">
      <c r="B1" s="1181" t="s">
        <v>1555</v>
      </c>
      <c r="C1" s="1181"/>
      <c r="D1" s="1181"/>
      <c r="E1" s="1181"/>
      <c r="F1" s="1181"/>
      <c r="G1" s="1181"/>
      <c r="H1" s="1181"/>
    </row>
    <row r="2" spans="2:8" s="206" customFormat="1" ht="21.75" customHeight="1">
      <c r="B2" s="1189" t="str">
        <f>CONCATENATE("Some Basic Statistics about the Blocks of ",District!$A$1, " for the year ",District!B3)</f>
        <v>Some Basic Statistics about the Blocks of Bankura for the year 2013-14</v>
      </c>
      <c r="C2" s="1189"/>
      <c r="D2" s="1189"/>
      <c r="E2" s="1189"/>
      <c r="F2" s="1189"/>
      <c r="G2" s="1189"/>
      <c r="H2" s="1189"/>
    </row>
    <row r="3" spans="2:8" ht="42" customHeight="1">
      <c r="B3" s="331" t="s">
        <v>494</v>
      </c>
      <c r="C3" s="263" t="s">
        <v>495</v>
      </c>
      <c r="D3" s="447" t="s">
        <v>1292</v>
      </c>
      <c r="E3" s="263" t="s">
        <v>1282</v>
      </c>
      <c r="F3" s="447" t="s">
        <v>1491</v>
      </c>
      <c r="G3" s="263" t="s">
        <v>1283</v>
      </c>
      <c r="H3" s="332" t="s">
        <v>1293</v>
      </c>
    </row>
    <row r="4" spans="2:8" ht="16.5" customHeight="1">
      <c r="B4" s="574" t="s">
        <v>418</v>
      </c>
      <c r="C4" s="181" t="s">
        <v>419</v>
      </c>
      <c r="D4" s="489" t="s">
        <v>420</v>
      </c>
      <c r="E4" s="181" t="s">
        <v>421</v>
      </c>
      <c r="F4" s="489" t="s">
        <v>422</v>
      </c>
      <c r="G4" s="181" t="s">
        <v>423</v>
      </c>
      <c r="H4" s="182" t="s">
        <v>424</v>
      </c>
    </row>
    <row r="5" spans="2:8" ht="24" customHeight="1">
      <c r="B5" s="168">
        <v>1</v>
      </c>
      <c r="C5" s="74" t="s">
        <v>596</v>
      </c>
      <c r="D5" s="189">
        <v>140</v>
      </c>
      <c r="E5" s="183">
        <v>42</v>
      </c>
      <c r="F5" s="189">
        <v>20</v>
      </c>
      <c r="G5" s="183">
        <v>47</v>
      </c>
      <c r="H5" s="39">
        <v>6</v>
      </c>
    </row>
    <row r="6" spans="2:8" ht="24" customHeight="1">
      <c r="B6" s="29">
        <f>B5+1</f>
        <v>2</v>
      </c>
      <c r="C6" s="74" t="s">
        <v>595</v>
      </c>
      <c r="D6" s="189">
        <v>154</v>
      </c>
      <c r="E6" s="183">
        <v>25</v>
      </c>
      <c r="F6" s="189">
        <v>12</v>
      </c>
      <c r="G6" s="183">
        <v>46</v>
      </c>
      <c r="H6" s="184">
        <v>7</v>
      </c>
    </row>
    <row r="7" spans="2:8" ht="24" customHeight="1">
      <c r="B7" s="29">
        <f t="shared" ref="B7:B26" si="0">B6+1</f>
        <v>3</v>
      </c>
      <c r="C7" s="74" t="s">
        <v>597</v>
      </c>
      <c r="D7" s="189">
        <v>287</v>
      </c>
      <c r="E7" s="183">
        <v>77</v>
      </c>
      <c r="F7" s="189">
        <v>15</v>
      </c>
      <c r="G7" s="183">
        <v>80</v>
      </c>
      <c r="H7" s="184">
        <v>13</v>
      </c>
    </row>
    <row r="8" spans="2:8" ht="24" customHeight="1">
      <c r="B8" s="29">
        <f t="shared" si="0"/>
        <v>4</v>
      </c>
      <c r="C8" s="74" t="s">
        <v>598</v>
      </c>
      <c r="D8" s="189">
        <v>150</v>
      </c>
      <c r="E8" s="183">
        <v>55</v>
      </c>
      <c r="F8" s="189">
        <v>12</v>
      </c>
      <c r="G8" s="183">
        <v>55</v>
      </c>
      <c r="H8" s="184">
        <v>8</v>
      </c>
    </row>
    <row r="9" spans="2:8" ht="24" customHeight="1">
      <c r="B9" s="29">
        <f t="shared" si="0"/>
        <v>5</v>
      </c>
      <c r="C9" s="74" t="s">
        <v>599</v>
      </c>
      <c r="D9" s="189">
        <v>75</v>
      </c>
      <c r="E9" s="183">
        <v>12</v>
      </c>
      <c r="F9" s="189">
        <v>5</v>
      </c>
      <c r="G9" s="183">
        <v>34</v>
      </c>
      <c r="H9" s="184">
        <v>5</v>
      </c>
    </row>
    <row r="10" spans="2:8" ht="24" customHeight="1">
      <c r="B10" s="29">
        <f t="shared" si="0"/>
        <v>6</v>
      </c>
      <c r="C10" s="74" t="s">
        <v>771</v>
      </c>
      <c r="D10" s="189">
        <v>163</v>
      </c>
      <c r="E10" s="183">
        <v>47</v>
      </c>
      <c r="F10" s="189">
        <v>6</v>
      </c>
      <c r="G10" s="183">
        <v>59</v>
      </c>
      <c r="H10" s="184">
        <v>8</v>
      </c>
    </row>
    <row r="11" spans="2:8" ht="24" customHeight="1">
      <c r="B11" s="29">
        <f t="shared" si="0"/>
        <v>7</v>
      </c>
      <c r="C11" s="74" t="s">
        <v>600</v>
      </c>
      <c r="D11" s="189">
        <v>186</v>
      </c>
      <c r="E11" s="183">
        <v>75</v>
      </c>
      <c r="F11" s="189">
        <v>16</v>
      </c>
      <c r="G11" s="183">
        <v>58</v>
      </c>
      <c r="H11" s="184">
        <v>11</v>
      </c>
    </row>
    <row r="12" spans="2:8" ht="24" customHeight="1">
      <c r="B12" s="29">
        <f t="shared" si="0"/>
        <v>8</v>
      </c>
      <c r="C12" s="74" t="s">
        <v>602</v>
      </c>
      <c r="D12" s="189">
        <v>291</v>
      </c>
      <c r="E12" s="183">
        <v>125</v>
      </c>
      <c r="F12" s="189">
        <v>12</v>
      </c>
      <c r="G12" s="183">
        <v>76</v>
      </c>
      <c r="H12" s="184">
        <v>15</v>
      </c>
    </row>
    <row r="13" spans="2:8" ht="24" customHeight="1">
      <c r="B13" s="29">
        <f t="shared" si="0"/>
        <v>9</v>
      </c>
      <c r="C13" s="74" t="s">
        <v>605</v>
      </c>
      <c r="D13" s="189">
        <v>209</v>
      </c>
      <c r="E13" s="183">
        <v>38</v>
      </c>
      <c r="F13" s="189">
        <v>9</v>
      </c>
      <c r="G13" s="183">
        <v>59</v>
      </c>
      <c r="H13" s="184">
        <v>7</v>
      </c>
    </row>
    <row r="14" spans="2:8" ht="24" customHeight="1">
      <c r="B14" s="29">
        <f t="shared" si="0"/>
        <v>10</v>
      </c>
      <c r="C14" s="74" t="s">
        <v>604</v>
      </c>
      <c r="D14" s="189">
        <v>155</v>
      </c>
      <c r="E14" s="183">
        <v>39</v>
      </c>
      <c r="F14" s="189">
        <v>10</v>
      </c>
      <c r="G14" s="183">
        <v>37</v>
      </c>
      <c r="H14" s="184">
        <v>7</v>
      </c>
    </row>
    <row r="15" spans="2:8" ht="24" customHeight="1">
      <c r="B15" s="29">
        <f t="shared" si="0"/>
        <v>11</v>
      </c>
      <c r="C15" s="74" t="s">
        <v>368</v>
      </c>
      <c r="D15" s="189">
        <v>121</v>
      </c>
      <c r="E15" s="183">
        <v>33</v>
      </c>
      <c r="F15" s="189">
        <v>6</v>
      </c>
      <c r="G15" s="183">
        <v>40</v>
      </c>
      <c r="H15" s="184">
        <v>5</v>
      </c>
    </row>
    <row r="16" spans="2:8" ht="24" customHeight="1">
      <c r="B16" s="29">
        <f t="shared" si="0"/>
        <v>12</v>
      </c>
      <c r="C16" s="74" t="s">
        <v>606</v>
      </c>
      <c r="D16" s="189">
        <v>169</v>
      </c>
      <c r="E16" s="183">
        <v>34</v>
      </c>
      <c r="F16" s="189">
        <v>5</v>
      </c>
      <c r="G16" s="183">
        <v>45</v>
      </c>
      <c r="H16" s="184">
        <v>7</v>
      </c>
    </row>
    <row r="17" spans="2:8" ht="24" customHeight="1">
      <c r="B17" s="29">
        <f t="shared" si="0"/>
        <v>13</v>
      </c>
      <c r="C17" s="74" t="s">
        <v>347</v>
      </c>
      <c r="D17" s="189">
        <v>145</v>
      </c>
      <c r="E17" s="183">
        <v>63</v>
      </c>
      <c r="F17" s="189">
        <v>8</v>
      </c>
      <c r="G17" s="224">
        <v>48</v>
      </c>
      <c r="H17" s="184">
        <v>9</v>
      </c>
    </row>
    <row r="18" spans="2:8" ht="24" customHeight="1">
      <c r="B18" s="29">
        <f t="shared" si="0"/>
        <v>14</v>
      </c>
      <c r="C18" s="74" t="s">
        <v>369</v>
      </c>
      <c r="D18" s="189">
        <v>203</v>
      </c>
      <c r="E18" s="183">
        <v>59</v>
      </c>
      <c r="F18" s="189">
        <v>18</v>
      </c>
      <c r="G18" s="183">
        <v>48</v>
      </c>
      <c r="H18" s="184">
        <v>7</v>
      </c>
    </row>
    <row r="19" spans="2:8" ht="24" customHeight="1">
      <c r="B19" s="29">
        <f t="shared" si="0"/>
        <v>15</v>
      </c>
      <c r="C19" s="74" t="s">
        <v>349</v>
      </c>
      <c r="D19" s="189">
        <v>206</v>
      </c>
      <c r="E19" s="183">
        <v>69</v>
      </c>
      <c r="F19" s="189">
        <v>13</v>
      </c>
      <c r="G19" s="183">
        <v>67</v>
      </c>
      <c r="H19" s="184">
        <v>10</v>
      </c>
    </row>
    <row r="20" spans="2:8" ht="24" customHeight="1">
      <c r="B20" s="29">
        <f t="shared" si="0"/>
        <v>16</v>
      </c>
      <c r="C20" s="74" t="s">
        <v>370</v>
      </c>
      <c r="D20" s="189">
        <v>153</v>
      </c>
      <c r="E20" s="183">
        <v>51</v>
      </c>
      <c r="F20" s="189">
        <v>8</v>
      </c>
      <c r="G20" s="183">
        <v>39</v>
      </c>
      <c r="H20" s="184">
        <v>6</v>
      </c>
    </row>
    <row r="21" spans="2:8" ht="24" customHeight="1">
      <c r="B21" s="29">
        <f t="shared" si="0"/>
        <v>17</v>
      </c>
      <c r="C21" s="74" t="s">
        <v>350</v>
      </c>
      <c r="D21" s="189">
        <v>161</v>
      </c>
      <c r="E21" s="183">
        <v>117</v>
      </c>
      <c r="F21" s="189">
        <v>22</v>
      </c>
      <c r="G21" s="183">
        <v>46</v>
      </c>
      <c r="H21" s="184">
        <v>9</v>
      </c>
    </row>
    <row r="22" spans="2:8" ht="24" customHeight="1">
      <c r="B22" s="29">
        <f t="shared" si="0"/>
        <v>18</v>
      </c>
      <c r="C22" s="74" t="s">
        <v>351</v>
      </c>
      <c r="D22" s="189">
        <v>139</v>
      </c>
      <c r="E22" s="183">
        <v>123</v>
      </c>
      <c r="F22" s="189">
        <v>13</v>
      </c>
      <c r="G22" s="183">
        <v>40</v>
      </c>
      <c r="H22" s="184">
        <v>9</v>
      </c>
    </row>
    <row r="23" spans="2:8" ht="24" customHeight="1">
      <c r="B23" s="29">
        <f t="shared" si="0"/>
        <v>19</v>
      </c>
      <c r="C23" s="74" t="s">
        <v>352</v>
      </c>
      <c r="D23" s="189">
        <v>170</v>
      </c>
      <c r="E23" s="183">
        <v>156</v>
      </c>
      <c r="F23" s="189">
        <v>47</v>
      </c>
      <c r="G23" s="183">
        <v>51</v>
      </c>
      <c r="H23" s="184">
        <v>8</v>
      </c>
    </row>
    <row r="24" spans="2:8" ht="24" customHeight="1">
      <c r="B24" s="29">
        <f t="shared" si="0"/>
        <v>20</v>
      </c>
      <c r="C24" s="74" t="s">
        <v>353</v>
      </c>
      <c r="D24" s="189">
        <v>176</v>
      </c>
      <c r="E24" s="183">
        <v>113</v>
      </c>
      <c r="F24" s="189">
        <v>20</v>
      </c>
      <c r="G24" s="183">
        <v>43</v>
      </c>
      <c r="H24" s="184">
        <v>10</v>
      </c>
    </row>
    <row r="25" spans="2:8" ht="24" customHeight="1">
      <c r="B25" s="29">
        <f t="shared" si="0"/>
        <v>21</v>
      </c>
      <c r="C25" s="74" t="s">
        <v>354</v>
      </c>
      <c r="D25" s="189">
        <v>160</v>
      </c>
      <c r="E25" s="183">
        <v>99</v>
      </c>
      <c r="F25" s="189">
        <v>12</v>
      </c>
      <c r="G25" s="183">
        <v>48</v>
      </c>
      <c r="H25" s="184">
        <v>10</v>
      </c>
    </row>
    <row r="26" spans="2:8" ht="24" customHeight="1">
      <c r="B26" s="56">
        <f t="shared" si="0"/>
        <v>22</v>
      </c>
      <c r="C26" s="75" t="s">
        <v>355</v>
      </c>
      <c r="D26" s="227">
        <v>129</v>
      </c>
      <c r="E26" s="248">
        <v>84</v>
      </c>
      <c r="F26" s="227">
        <v>5</v>
      </c>
      <c r="G26" s="248">
        <v>48</v>
      </c>
      <c r="H26" s="194">
        <v>10</v>
      </c>
    </row>
    <row r="27" spans="2:8">
      <c r="B27" s="272"/>
      <c r="C27" s="272"/>
      <c r="D27" s="272"/>
      <c r="E27" s="722" t="s">
        <v>1028</v>
      </c>
      <c r="F27" s="651" t="s">
        <v>1294</v>
      </c>
      <c r="G27" s="2"/>
      <c r="H27" s="2"/>
    </row>
    <row r="28" spans="2:8">
      <c r="B28" s="272"/>
      <c r="C28" s="272"/>
      <c r="D28" s="272"/>
      <c r="E28" s="753"/>
      <c r="F28" s="651" t="s">
        <v>1295</v>
      </c>
      <c r="G28" s="2"/>
      <c r="H28" s="2"/>
    </row>
    <row r="29" spans="2:8">
      <c r="B29" s="272"/>
      <c r="C29" s="272"/>
      <c r="D29" s="272"/>
      <c r="E29" s="753"/>
      <c r="F29" s="651" t="s">
        <v>1296</v>
      </c>
      <c r="G29" s="2"/>
      <c r="H29" s="2"/>
    </row>
    <row r="30" spans="2:8">
      <c r="B30" s="170"/>
      <c r="C30" s="170"/>
      <c r="D30" s="170"/>
      <c r="E30" s="730"/>
      <c r="F30" s="651"/>
      <c r="G30" s="2"/>
      <c r="H30" s="2"/>
    </row>
    <row r="33" spans="4:4" ht="14.25" customHeight="1"/>
    <row r="34" spans="4:4">
      <c r="D34" s="172" t="s">
        <v>1388</v>
      </c>
    </row>
  </sheetData>
  <mergeCells count="2">
    <mergeCell ref="B2:H2"/>
    <mergeCell ref="B1:H1"/>
  </mergeCells>
  <phoneticPr fontId="0" type="noConversion"/>
  <printOptions horizontalCentered="1"/>
  <pageMargins left="0.1" right="0.1" top="0.94" bottom="0.1" header="0.5" footer="0.1"/>
  <pageSetup paperSize="9" orientation="portrait" horizontalDpi="4294967295" r:id="rId1"/>
  <headerFooter alignWithMargins="0"/>
</worksheet>
</file>

<file path=xl/worksheets/sheet79.xml><?xml version="1.0" encoding="utf-8"?>
<worksheet xmlns="http://schemas.openxmlformats.org/spreadsheetml/2006/main" xmlns:r="http://schemas.openxmlformats.org/officeDocument/2006/relationships">
  <sheetPr codeName="Sheet73"/>
  <dimension ref="A1:S52"/>
  <sheetViews>
    <sheetView workbookViewId="0">
      <selection activeCell="U9" sqref="U9"/>
    </sheetView>
  </sheetViews>
  <sheetFormatPr defaultRowHeight="12.75"/>
  <cols>
    <col min="1" max="1" width="3.5703125" customWidth="1"/>
    <col min="2" max="2" width="10.140625" customWidth="1"/>
    <col min="3" max="3" width="8.28515625" customWidth="1"/>
    <col min="4" max="4" width="8" customWidth="1"/>
    <col min="5" max="5" width="7.5703125" customWidth="1"/>
    <col min="6" max="6" width="7.42578125" customWidth="1"/>
    <col min="7" max="7" width="7.5703125" customWidth="1"/>
    <col min="8" max="8" width="6.42578125" customWidth="1"/>
    <col min="9" max="9" width="7.5703125" customWidth="1"/>
    <col min="10" max="10" width="7.140625" customWidth="1"/>
    <col min="11" max="11" width="7.5703125" customWidth="1"/>
    <col min="12" max="12" width="6.85546875" customWidth="1"/>
    <col min="13" max="13" width="7.5703125" customWidth="1"/>
    <col min="14" max="14" width="6.7109375" customWidth="1"/>
    <col min="15" max="15" width="7.5703125" customWidth="1"/>
    <col min="16" max="16" width="6.7109375" customWidth="1"/>
    <col min="17" max="17" width="7.5703125" customWidth="1"/>
    <col min="18" max="18" width="8.140625" customWidth="1"/>
    <col min="19" max="19" width="7.5703125" customWidth="1"/>
  </cols>
  <sheetData>
    <row r="1" spans="1:19">
      <c r="A1" s="1181" t="s">
        <v>1553</v>
      </c>
      <c r="B1" s="1181"/>
      <c r="C1" s="1181"/>
      <c r="D1" s="1181"/>
      <c r="E1" s="1181"/>
      <c r="F1" s="1181"/>
      <c r="G1" s="1181"/>
      <c r="H1" s="1181"/>
      <c r="I1" s="1181"/>
      <c r="J1" s="1181"/>
      <c r="K1" s="1181"/>
      <c r="L1" s="1181"/>
      <c r="M1" s="1181"/>
      <c r="N1" s="1181"/>
      <c r="O1" s="1181"/>
      <c r="P1" s="1181"/>
      <c r="Q1" s="1181"/>
      <c r="R1" s="1181"/>
      <c r="S1" s="1181"/>
    </row>
    <row r="2" spans="1:19" ht="20.25" customHeight="1">
      <c r="A2" s="1189" t="s">
        <v>1266</v>
      </c>
      <c r="B2" s="1189"/>
      <c r="C2" s="1189"/>
      <c r="D2" s="1189"/>
      <c r="E2" s="1189"/>
      <c r="F2" s="1189"/>
      <c r="G2" s="1189"/>
      <c r="H2" s="1189"/>
      <c r="I2" s="1189"/>
      <c r="J2" s="1189"/>
      <c r="K2" s="1189"/>
      <c r="L2" s="1189"/>
      <c r="M2" s="1189"/>
      <c r="N2" s="1189"/>
      <c r="O2" s="1189"/>
      <c r="P2" s="1189"/>
      <c r="Q2" s="1189"/>
      <c r="R2" s="1189"/>
      <c r="S2" s="1189"/>
    </row>
    <row r="3" spans="1:19" ht="15.75" customHeight="1">
      <c r="A3" s="1258" t="s">
        <v>255</v>
      </c>
      <c r="B3" s="1194" t="s">
        <v>1237</v>
      </c>
      <c r="C3" s="1259" t="s">
        <v>623</v>
      </c>
      <c r="D3" s="1228" t="s">
        <v>69</v>
      </c>
      <c r="E3" s="1228"/>
      <c r="F3" s="1228" t="s">
        <v>70</v>
      </c>
      <c r="G3" s="1228"/>
      <c r="H3" s="1228" t="s">
        <v>71</v>
      </c>
      <c r="I3" s="1228"/>
      <c r="J3" s="1228" t="s">
        <v>72</v>
      </c>
      <c r="K3" s="1228"/>
      <c r="L3" s="1228" t="s">
        <v>73</v>
      </c>
      <c r="M3" s="1228"/>
      <c r="N3" s="1228" t="s">
        <v>74</v>
      </c>
      <c r="O3" s="1228"/>
      <c r="P3" s="1191" t="s">
        <v>592</v>
      </c>
      <c r="Q3" s="1192"/>
      <c r="R3" s="1191" t="s">
        <v>439</v>
      </c>
      <c r="S3" s="1192"/>
    </row>
    <row r="4" spans="1:19" ht="60" customHeight="1">
      <c r="A4" s="1264"/>
      <c r="B4" s="1195"/>
      <c r="C4" s="1265"/>
      <c r="D4" s="207" t="s">
        <v>1420</v>
      </c>
      <c r="E4" s="780" t="s">
        <v>1284</v>
      </c>
      <c r="F4" s="207" t="s">
        <v>1420</v>
      </c>
      <c r="G4" s="780" t="s">
        <v>1284</v>
      </c>
      <c r="H4" s="207" t="s">
        <v>1420</v>
      </c>
      <c r="I4" s="780" t="s">
        <v>1284</v>
      </c>
      <c r="J4" s="207" t="s">
        <v>1420</v>
      </c>
      <c r="K4" s="780" t="s">
        <v>1284</v>
      </c>
      <c r="L4" s="207" t="s">
        <v>1420</v>
      </c>
      <c r="M4" s="780" t="s">
        <v>1284</v>
      </c>
      <c r="N4" s="207" t="s">
        <v>1420</v>
      </c>
      <c r="O4" s="780" t="s">
        <v>1284</v>
      </c>
      <c r="P4" s="207" t="s">
        <v>1420</v>
      </c>
      <c r="Q4" s="780" t="s">
        <v>1284</v>
      </c>
      <c r="R4" s="207" t="s">
        <v>1420</v>
      </c>
      <c r="S4" s="887" t="s">
        <v>1284</v>
      </c>
    </row>
    <row r="5" spans="1:19" ht="17.25" customHeight="1">
      <c r="A5" s="221" t="s">
        <v>418</v>
      </c>
      <c r="B5" s="213" t="s">
        <v>419</v>
      </c>
      <c r="C5" s="222" t="s">
        <v>420</v>
      </c>
      <c r="D5" s="297" t="s">
        <v>421</v>
      </c>
      <c r="E5" s="161" t="s">
        <v>422</v>
      </c>
      <c r="F5" s="221" t="s">
        <v>423</v>
      </c>
      <c r="G5" s="213" t="s">
        <v>424</v>
      </c>
      <c r="H5" s="222" t="s">
        <v>440</v>
      </c>
      <c r="I5" s="221" t="s">
        <v>441</v>
      </c>
      <c r="J5" s="221" t="s">
        <v>442</v>
      </c>
      <c r="K5" s="213" t="s">
        <v>443</v>
      </c>
      <c r="L5" s="222" t="s">
        <v>537</v>
      </c>
      <c r="M5" s="221" t="s">
        <v>538</v>
      </c>
      <c r="N5" s="221" t="s">
        <v>539</v>
      </c>
      <c r="O5" s="213" t="s">
        <v>540</v>
      </c>
      <c r="P5" s="222" t="s">
        <v>542</v>
      </c>
      <c r="Q5" s="213" t="s">
        <v>543</v>
      </c>
      <c r="R5" s="213" t="s">
        <v>545</v>
      </c>
      <c r="S5" s="214" t="s">
        <v>544</v>
      </c>
    </row>
    <row r="6" spans="1:19" ht="19.5" customHeight="1">
      <c r="A6" s="1258" t="s">
        <v>1224</v>
      </c>
      <c r="B6" s="1567" t="s">
        <v>1225</v>
      </c>
      <c r="C6" s="220">
        <v>2001</v>
      </c>
      <c r="D6" s="382">
        <v>202443</v>
      </c>
      <c r="E6" s="797">
        <f t="shared" ref="E6:E14" si="0">IF(D6="-","-",ROUND(D6/$R6*100,2))</f>
        <v>92.33</v>
      </c>
      <c r="F6" s="382">
        <v>14381</v>
      </c>
      <c r="G6" s="798">
        <f>IF(F6="-","-",ROUND(F6/$R6*100,2))</f>
        <v>6.56</v>
      </c>
      <c r="H6" s="382">
        <v>95</v>
      </c>
      <c r="I6" s="797">
        <f t="shared" ref="I6:I22" si="1">IF(H6="-","-",ROUND(H6/$R6*100,2))</f>
        <v>0.04</v>
      </c>
      <c r="J6" s="799">
        <v>12</v>
      </c>
      <c r="K6" s="798">
        <f>IF(J6="-","-",ROUND(J6/$R6*100,2))</f>
        <v>0.01</v>
      </c>
      <c r="L6" s="382">
        <v>3</v>
      </c>
      <c r="M6" s="797">
        <f t="shared" ref="M6:M23" si="2">IF(L6="-","-",ROUND(L6/$R6*100,2))</f>
        <v>0</v>
      </c>
      <c r="N6" s="799" t="s">
        <v>1127</v>
      </c>
      <c r="O6" s="798" t="str">
        <f>IF(N6="-","-",ROUND(N6/$R6*100,2))</f>
        <v>-</v>
      </c>
      <c r="P6" s="799">
        <v>2321</v>
      </c>
      <c r="Q6" s="276">
        <f>IF(P6="-","-",ROUND(P6/$R6*100,2))</f>
        <v>1.06</v>
      </c>
      <c r="R6" s="33">
        <f t="shared" ref="R6:R23" si="3">SUM(D6,F6,H6,J6,L6,N6,P6)</f>
        <v>219255</v>
      </c>
      <c r="S6" s="62">
        <f t="shared" ref="S6:S23" si="4">SUM(E6,G6,I6,K6,M6,O6,Q6)</f>
        <v>100.00000000000001</v>
      </c>
    </row>
    <row r="7" spans="1:19" ht="19.5" customHeight="1">
      <c r="A7" s="1242"/>
      <c r="B7" s="1568"/>
      <c r="C7" s="40">
        <v>1991</v>
      </c>
      <c r="D7" s="48">
        <v>178719</v>
      </c>
      <c r="E7" s="800">
        <f t="shared" si="0"/>
        <v>93.29</v>
      </c>
      <c r="F7" s="48">
        <v>11746</v>
      </c>
      <c r="G7" s="801">
        <f>IF(F7="-","-",ROUND(F7/$R7*100,2))</f>
        <v>6.13</v>
      </c>
      <c r="H7" s="48">
        <v>67</v>
      </c>
      <c r="I7" s="800">
        <f t="shared" si="1"/>
        <v>0.03</v>
      </c>
      <c r="J7" s="48">
        <v>20</v>
      </c>
      <c r="K7" s="801">
        <f>IF(J7="-","-",ROUND(J7/$R7*100,2))</f>
        <v>0.01</v>
      </c>
      <c r="L7" s="53" t="s">
        <v>1127</v>
      </c>
      <c r="M7" s="800" t="str">
        <f t="shared" si="2"/>
        <v>-</v>
      </c>
      <c r="N7" s="53" t="s">
        <v>1127</v>
      </c>
      <c r="O7" s="801" t="str">
        <f>IF(N7="-","-",ROUND(N7/$R7*100,2))</f>
        <v>-</v>
      </c>
      <c r="P7" s="48">
        <v>1026</v>
      </c>
      <c r="Q7" s="630">
        <f>IF(P7="-","-",ROUND(P7/$R7*100,2))</f>
        <v>0.54</v>
      </c>
      <c r="R7" s="41">
        <f t="shared" si="3"/>
        <v>191578</v>
      </c>
      <c r="S7" s="584">
        <f t="shared" si="4"/>
        <v>100.00000000000001</v>
      </c>
    </row>
    <row r="8" spans="1:19" ht="19.5" customHeight="1">
      <c r="A8" s="1186">
        <v>3</v>
      </c>
      <c r="B8" s="1569" t="s">
        <v>597</v>
      </c>
      <c r="C8" s="220">
        <v>2001</v>
      </c>
      <c r="D8" s="382">
        <v>136252</v>
      </c>
      <c r="E8" s="797">
        <f t="shared" si="0"/>
        <v>80.52</v>
      </c>
      <c r="F8" s="49">
        <v>4153</v>
      </c>
      <c r="G8" s="798">
        <f>IF(F8="-","-",ROUND(F8/$R8*100,2))</f>
        <v>2.4500000000000002</v>
      </c>
      <c r="H8" s="52">
        <v>48</v>
      </c>
      <c r="I8" s="797">
        <f t="shared" si="1"/>
        <v>0.03</v>
      </c>
      <c r="J8" s="49">
        <v>5</v>
      </c>
      <c r="K8" s="798">
        <f>IF(J8="-","-",ROUND(J8/$R8*100,2))+0.01</f>
        <v>0.01</v>
      </c>
      <c r="L8" s="52">
        <v>18</v>
      </c>
      <c r="M8" s="797">
        <f t="shared" si="2"/>
        <v>0.01</v>
      </c>
      <c r="N8" s="49">
        <v>101</v>
      </c>
      <c r="O8" s="798">
        <f>IF(N8="-","-",ROUND(N8/$R8*100,2))</f>
        <v>0.06</v>
      </c>
      <c r="P8" s="49">
        <v>28638</v>
      </c>
      <c r="Q8" s="325">
        <f>IF(P8="-","-",ROUND(P8/$R8*100,2))</f>
        <v>16.920000000000002</v>
      </c>
      <c r="R8" s="33">
        <f t="shared" si="3"/>
        <v>169215</v>
      </c>
      <c r="S8" s="62">
        <f t="shared" si="4"/>
        <v>100.00000000000001</v>
      </c>
    </row>
    <row r="9" spans="1:19" ht="19.5" customHeight="1">
      <c r="A9" s="1242"/>
      <c r="B9" s="1568"/>
      <c r="C9" s="40">
        <v>1991</v>
      </c>
      <c r="D9" s="787">
        <v>132198</v>
      </c>
      <c r="E9" s="800">
        <f t="shared" si="0"/>
        <v>84.66</v>
      </c>
      <c r="F9" s="48">
        <v>3150</v>
      </c>
      <c r="G9" s="801">
        <f>IF(F9="-","-",ROUND(F9/$R9*100,2))</f>
        <v>2.02</v>
      </c>
      <c r="H9" s="48">
        <v>9</v>
      </c>
      <c r="I9" s="800">
        <f t="shared" si="1"/>
        <v>0.01</v>
      </c>
      <c r="J9" s="53" t="s">
        <v>1127</v>
      </c>
      <c r="K9" s="801" t="str">
        <f t="shared" ref="K9:K23" si="5">IF(J9="-","-",ROUND(J9/$R9*100,2))</f>
        <v>-</v>
      </c>
      <c r="L9" s="53" t="s">
        <v>1127</v>
      </c>
      <c r="M9" s="800" t="str">
        <f t="shared" si="2"/>
        <v>-</v>
      </c>
      <c r="N9" s="48">
        <v>383</v>
      </c>
      <c r="O9" s="801">
        <f>IF(N9="-","-",ROUND(N9/$R9*100,2))-0.01</f>
        <v>0.24</v>
      </c>
      <c r="P9" s="48">
        <v>20407</v>
      </c>
      <c r="Q9" s="630">
        <f>IF(P9="-","-",ROUND(P9/$R9*100,2))</f>
        <v>13.07</v>
      </c>
      <c r="R9" s="41">
        <f t="shared" si="3"/>
        <v>156147</v>
      </c>
      <c r="S9" s="584">
        <f t="shared" si="4"/>
        <v>100</v>
      </c>
    </row>
    <row r="10" spans="1:19" ht="19.5" customHeight="1">
      <c r="A10" s="1186">
        <v>4</v>
      </c>
      <c r="B10" s="1569" t="s">
        <v>598</v>
      </c>
      <c r="C10" s="220">
        <v>2001</v>
      </c>
      <c r="D10" s="382">
        <v>99022</v>
      </c>
      <c r="E10" s="797">
        <f t="shared" si="0"/>
        <v>81.459999999999994</v>
      </c>
      <c r="F10" s="49">
        <v>2422</v>
      </c>
      <c r="G10" s="798">
        <f>IF(F10="-","-",ROUND(F10/$R10*100,2))+0.01</f>
        <v>2</v>
      </c>
      <c r="H10" s="49">
        <v>46</v>
      </c>
      <c r="I10" s="797">
        <f t="shared" si="1"/>
        <v>0.04</v>
      </c>
      <c r="J10" s="52">
        <v>6</v>
      </c>
      <c r="K10" s="798">
        <f t="shared" si="5"/>
        <v>0</v>
      </c>
      <c r="L10" s="52">
        <v>17</v>
      </c>
      <c r="M10" s="797">
        <f t="shared" si="2"/>
        <v>0.01</v>
      </c>
      <c r="N10" s="49">
        <v>1589</v>
      </c>
      <c r="O10" s="798">
        <f>IF(N10="-","-",ROUND(N10/$R10*100,5))</f>
        <v>1.3072600000000001</v>
      </c>
      <c r="P10" s="49">
        <v>18450</v>
      </c>
      <c r="Q10" s="325">
        <f>IF(P10="-","-",ROUND(P10/$R10*100,2))</f>
        <v>15.18</v>
      </c>
      <c r="R10" s="33">
        <f t="shared" si="3"/>
        <v>121552</v>
      </c>
      <c r="S10" s="62">
        <f t="shared" si="4"/>
        <v>99.997260000000011</v>
      </c>
    </row>
    <row r="11" spans="1:19" ht="19.5" customHeight="1">
      <c r="A11" s="1242"/>
      <c r="B11" s="1568"/>
      <c r="C11" s="40">
        <v>1991</v>
      </c>
      <c r="D11" s="48">
        <v>97414</v>
      </c>
      <c r="E11" s="800">
        <f t="shared" si="0"/>
        <v>87.82</v>
      </c>
      <c r="F11" s="48">
        <v>1682</v>
      </c>
      <c r="G11" s="801">
        <f>IF(F11="-","-",ROUND(F11/$R11*100,2))</f>
        <v>1.52</v>
      </c>
      <c r="H11" s="48">
        <v>24</v>
      </c>
      <c r="I11" s="800">
        <f t="shared" si="1"/>
        <v>0.02</v>
      </c>
      <c r="J11" s="53" t="s">
        <v>1127</v>
      </c>
      <c r="K11" s="801" t="str">
        <f t="shared" si="5"/>
        <v>-</v>
      </c>
      <c r="L11" s="53" t="s">
        <v>1127</v>
      </c>
      <c r="M11" s="800" t="str">
        <f t="shared" si="2"/>
        <v>-</v>
      </c>
      <c r="N11" s="48">
        <v>1453</v>
      </c>
      <c r="O11" s="801">
        <f t="shared" ref="O11:O23" si="6">IF(N11="-","-",ROUND(N11/$R11*100,2))</f>
        <v>1.31</v>
      </c>
      <c r="P11" s="48">
        <v>10356</v>
      </c>
      <c r="Q11" s="630">
        <f>IF(P11="-","-",ROUND(P11/$R11*100,2))-0.01</f>
        <v>9.33</v>
      </c>
      <c r="R11" s="41">
        <f t="shared" si="3"/>
        <v>110929</v>
      </c>
      <c r="S11" s="584">
        <f t="shared" si="4"/>
        <v>99.999999999999986</v>
      </c>
    </row>
    <row r="12" spans="1:19" ht="19.5" customHeight="1">
      <c r="A12" s="1186">
        <v>5</v>
      </c>
      <c r="B12" s="1569" t="s">
        <v>599</v>
      </c>
      <c r="C12" s="220">
        <v>2001</v>
      </c>
      <c r="D12" s="382">
        <v>71586</v>
      </c>
      <c r="E12" s="797">
        <f t="shared" si="0"/>
        <v>94.04</v>
      </c>
      <c r="F12" s="49">
        <v>2857</v>
      </c>
      <c r="G12" s="798">
        <f>IF(F12="-","-",ROUND(F12/$R12*100,2))+0.01</f>
        <v>3.76</v>
      </c>
      <c r="H12" s="49">
        <v>7</v>
      </c>
      <c r="I12" s="797">
        <f t="shared" si="1"/>
        <v>0.01</v>
      </c>
      <c r="J12" s="52">
        <v>2</v>
      </c>
      <c r="K12" s="798">
        <f t="shared" si="5"/>
        <v>0</v>
      </c>
      <c r="L12" s="49">
        <v>3</v>
      </c>
      <c r="M12" s="797">
        <f t="shared" si="2"/>
        <v>0</v>
      </c>
      <c r="N12" s="49">
        <v>563</v>
      </c>
      <c r="O12" s="798">
        <f t="shared" si="6"/>
        <v>0.74</v>
      </c>
      <c r="P12" s="52">
        <v>1105</v>
      </c>
      <c r="Q12" s="325">
        <f t="shared" ref="Q12:Q23" si="7">IF(P12="-","-",ROUND(P12/$R12*100,2))</f>
        <v>1.45</v>
      </c>
      <c r="R12" s="33">
        <f t="shared" si="3"/>
        <v>76123</v>
      </c>
      <c r="S12" s="62">
        <f t="shared" si="4"/>
        <v>100.00000000000001</v>
      </c>
    </row>
    <row r="13" spans="1:19" ht="19.5" customHeight="1">
      <c r="A13" s="1242"/>
      <c r="B13" s="1568"/>
      <c r="C13" s="40">
        <v>1991</v>
      </c>
      <c r="D13" s="48">
        <v>66518</v>
      </c>
      <c r="E13" s="800">
        <f t="shared" si="0"/>
        <v>95.99</v>
      </c>
      <c r="F13" s="48">
        <v>2024</v>
      </c>
      <c r="G13" s="801">
        <f>IF(F13="-","-",ROUND(F13/$R13*100,2))</f>
        <v>2.92</v>
      </c>
      <c r="H13" s="48">
        <v>4</v>
      </c>
      <c r="I13" s="800">
        <f t="shared" si="1"/>
        <v>0.01</v>
      </c>
      <c r="J13" s="48">
        <v>1</v>
      </c>
      <c r="K13" s="801">
        <f t="shared" si="5"/>
        <v>0</v>
      </c>
      <c r="L13" s="53" t="s">
        <v>1127</v>
      </c>
      <c r="M13" s="800" t="str">
        <f t="shared" si="2"/>
        <v>-</v>
      </c>
      <c r="N13" s="48">
        <v>46</v>
      </c>
      <c r="O13" s="801">
        <f t="shared" si="6"/>
        <v>7.0000000000000007E-2</v>
      </c>
      <c r="P13" s="48">
        <v>701</v>
      </c>
      <c r="Q13" s="630">
        <f t="shared" si="7"/>
        <v>1.01</v>
      </c>
      <c r="R13" s="41">
        <f t="shared" si="3"/>
        <v>69294</v>
      </c>
      <c r="S13" s="584">
        <f t="shared" si="4"/>
        <v>100</v>
      </c>
    </row>
    <row r="14" spans="1:19" ht="19.5" customHeight="1">
      <c r="A14" s="1186">
        <v>6</v>
      </c>
      <c r="B14" s="1567" t="s">
        <v>1308</v>
      </c>
      <c r="C14" s="220">
        <v>2001</v>
      </c>
      <c r="D14" s="382">
        <v>157589</v>
      </c>
      <c r="E14" s="797">
        <f t="shared" si="0"/>
        <v>97.27</v>
      </c>
      <c r="F14" s="49">
        <v>348</v>
      </c>
      <c r="G14" s="798">
        <f>IF(F14="-","-",ROUND(F14/$R14*100,2))+0.01</f>
        <v>0.22</v>
      </c>
      <c r="H14" s="49">
        <v>76</v>
      </c>
      <c r="I14" s="797">
        <f t="shared" si="1"/>
        <v>0.05</v>
      </c>
      <c r="J14" s="52">
        <v>12</v>
      </c>
      <c r="K14" s="798">
        <f t="shared" si="5"/>
        <v>0.01</v>
      </c>
      <c r="L14" s="49">
        <v>6</v>
      </c>
      <c r="M14" s="797">
        <f t="shared" si="2"/>
        <v>0</v>
      </c>
      <c r="N14" s="52">
        <v>1152</v>
      </c>
      <c r="O14" s="798">
        <f t="shared" si="6"/>
        <v>0.71</v>
      </c>
      <c r="P14" s="49">
        <v>2824</v>
      </c>
      <c r="Q14" s="325">
        <f t="shared" si="7"/>
        <v>1.74</v>
      </c>
      <c r="R14" s="33">
        <f t="shared" si="3"/>
        <v>162007</v>
      </c>
      <c r="S14" s="62">
        <f t="shared" si="4"/>
        <v>99.999999999999986</v>
      </c>
    </row>
    <row r="15" spans="1:19" ht="19.5" customHeight="1">
      <c r="A15" s="1242"/>
      <c r="B15" s="1570"/>
      <c r="C15" s="40">
        <v>1991</v>
      </c>
      <c r="D15" s="48">
        <v>142523</v>
      </c>
      <c r="E15" s="800">
        <f>IF(D15="-","-",ROUND(D15/$R15*100,2))+0.01</f>
        <v>99.26</v>
      </c>
      <c r="F15" s="48">
        <v>96</v>
      </c>
      <c r="G15" s="801">
        <f>IF(F15="-","-",ROUND(F15/$R15*100,2))</f>
        <v>7.0000000000000007E-2</v>
      </c>
      <c r="H15" s="48">
        <v>31</v>
      </c>
      <c r="I15" s="800">
        <f t="shared" si="1"/>
        <v>0.02</v>
      </c>
      <c r="J15" s="48">
        <v>1</v>
      </c>
      <c r="K15" s="801">
        <f t="shared" si="5"/>
        <v>0</v>
      </c>
      <c r="L15" s="48">
        <v>4</v>
      </c>
      <c r="M15" s="800">
        <f t="shared" si="2"/>
        <v>0</v>
      </c>
      <c r="N15" s="48">
        <v>18</v>
      </c>
      <c r="O15" s="801">
        <f t="shared" si="6"/>
        <v>0.01</v>
      </c>
      <c r="P15" s="48">
        <v>922</v>
      </c>
      <c r="Q15" s="630">
        <f t="shared" si="7"/>
        <v>0.64</v>
      </c>
      <c r="R15" s="41">
        <f t="shared" si="3"/>
        <v>143595</v>
      </c>
      <c r="S15" s="584">
        <f t="shared" si="4"/>
        <v>100</v>
      </c>
    </row>
    <row r="16" spans="1:19" ht="19.5" customHeight="1">
      <c r="A16" s="1186">
        <v>7</v>
      </c>
      <c r="B16" s="1569" t="s">
        <v>600</v>
      </c>
      <c r="C16" s="220">
        <v>2001</v>
      </c>
      <c r="D16" s="382">
        <v>166700</v>
      </c>
      <c r="E16" s="797">
        <f t="shared" ref="E16:E23" si="8">IF(D16="-","-",ROUND(D16/$R16*100,2))</f>
        <v>93.12</v>
      </c>
      <c r="F16" s="49">
        <v>11561</v>
      </c>
      <c r="G16" s="798">
        <f>IF(F16="-","-",ROUND(F16/$R16*100,2))+0.01</f>
        <v>6.47</v>
      </c>
      <c r="H16" s="49">
        <v>22</v>
      </c>
      <c r="I16" s="797">
        <f t="shared" si="1"/>
        <v>0.01</v>
      </c>
      <c r="J16" s="52">
        <v>1</v>
      </c>
      <c r="K16" s="798">
        <f t="shared" si="5"/>
        <v>0</v>
      </c>
      <c r="L16" s="52">
        <v>3</v>
      </c>
      <c r="M16" s="797">
        <f t="shared" si="2"/>
        <v>0</v>
      </c>
      <c r="N16" s="52" t="s">
        <v>1127</v>
      </c>
      <c r="O16" s="798" t="str">
        <f t="shared" si="6"/>
        <v>-</v>
      </c>
      <c r="P16" s="52">
        <v>720</v>
      </c>
      <c r="Q16" s="325">
        <f t="shared" si="7"/>
        <v>0.4</v>
      </c>
      <c r="R16" s="33">
        <f t="shared" si="3"/>
        <v>179007</v>
      </c>
      <c r="S16" s="62">
        <f t="shared" si="4"/>
        <v>100.00000000000001</v>
      </c>
    </row>
    <row r="17" spans="1:19" ht="19.5" customHeight="1">
      <c r="A17" s="1242"/>
      <c r="B17" s="1568"/>
      <c r="C17" s="40">
        <v>1991</v>
      </c>
      <c r="D17" s="48">
        <v>149398</v>
      </c>
      <c r="E17" s="800">
        <f t="shared" si="8"/>
        <v>93.93</v>
      </c>
      <c r="F17" s="48">
        <v>9640</v>
      </c>
      <c r="G17" s="801">
        <f t="shared" ref="G17:G23" si="9">IF(F17="-","-",ROUND(F17/$R17*100,2))</f>
        <v>6.06</v>
      </c>
      <c r="H17" s="48">
        <v>15</v>
      </c>
      <c r="I17" s="800">
        <f t="shared" si="1"/>
        <v>0.01</v>
      </c>
      <c r="J17" s="48">
        <v>1</v>
      </c>
      <c r="K17" s="801">
        <f t="shared" si="5"/>
        <v>0</v>
      </c>
      <c r="L17" s="53" t="s">
        <v>1127</v>
      </c>
      <c r="M17" s="800" t="str">
        <f t="shared" si="2"/>
        <v>-</v>
      </c>
      <c r="N17" s="53" t="s">
        <v>1127</v>
      </c>
      <c r="O17" s="801" t="str">
        <f t="shared" si="6"/>
        <v>-</v>
      </c>
      <c r="P17" s="48">
        <v>6</v>
      </c>
      <c r="Q17" s="630">
        <f t="shared" si="7"/>
        <v>0</v>
      </c>
      <c r="R17" s="41">
        <f t="shared" si="3"/>
        <v>159060</v>
      </c>
      <c r="S17" s="584">
        <f t="shared" si="4"/>
        <v>100.00000000000001</v>
      </c>
    </row>
    <row r="18" spans="1:19" ht="19.5" customHeight="1">
      <c r="A18" s="1186">
        <v>8</v>
      </c>
      <c r="B18" s="1569" t="s">
        <v>602</v>
      </c>
      <c r="C18" s="220">
        <v>2001</v>
      </c>
      <c r="D18" s="382">
        <v>190529</v>
      </c>
      <c r="E18" s="797">
        <f t="shared" si="8"/>
        <v>86.38</v>
      </c>
      <c r="F18" s="49">
        <v>24814</v>
      </c>
      <c r="G18" s="798">
        <f t="shared" si="9"/>
        <v>11.25</v>
      </c>
      <c r="H18" s="49">
        <v>5</v>
      </c>
      <c r="I18" s="797">
        <f t="shared" si="1"/>
        <v>0</v>
      </c>
      <c r="J18" s="52" t="s">
        <v>1127</v>
      </c>
      <c r="K18" s="798" t="str">
        <f t="shared" si="5"/>
        <v>-</v>
      </c>
      <c r="L18" s="52">
        <v>1</v>
      </c>
      <c r="M18" s="797">
        <f t="shared" si="2"/>
        <v>0</v>
      </c>
      <c r="N18" s="52" t="s">
        <v>1127</v>
      </c>
      <c r="O18" s="798" t="str">
        <f t="shared" si="6"/>
        <v>-</v>
      </c>
      <c r="P18" s="49">
        <v>5223</v>
      </c>
      <c r="Q18" s="325">
        <f t="shared" si="7"/>
        <v>2.37</v>
      </c>
      <c r="R18" s="33">
        <f t="shared" si="3"/>
        <v>220572</v>
      </c>
      <c r="S18" s="62">
        <f t="shared" si="4"/>
        <v>100</v>
      </c>
    </row>
    <row r="19" spans="1:19" ht="19.5" customHeight="1">
      <c r="A19" s="1242"/>
      <c r="B19" s="1568"/>
      <c r="C19" s="40">
        <v>1991</v>
      </c>
      <c r="D19" s="48">
        <v>169939</v>
      </c>
      <c r="E19" s="800">
        <f t="shared" si="8"/>
        <v>88.94</v>
      </c>
      <c r="F19" s="48">
        <v>18369</v>
      </c>
      <c r="G19" s="801">
        <f t="shared" si="9"/>
        <v>9.61</v>
      </c>
      <c r="H19" s="48">
        <v>8</v>
      </c>
      <c r="I19" s="800">
        <f t="shared" si="1"/>
        <v>0</v>
      </c>
      <c r="J19" s="53" t="s">
        <v>1127</v>
      </c>
      <c r="K19" s="801" t="str">
        <f t="shared" si="5"/>
        <v>-</v>
      </c>
      <c r="L19" s="53" t="s">
        <v>1127</v>
      </c>
      <c r="M19" s="800" t="str">
        <f t="shared" si="2"/>
        <v>-</v>
      </c>
      <c r="N19" s="53" t="s">
        <v>1127</v>
      </c>
      <c r="O19" s="801" t="str">
        <f t="shared" si="6"/>
        <v>-</v>
      </c>
      <c r="P19" s="48">
        <v>2762</v>
      </c>
      <c r="Q19" s="630">
        <f t="shared" si="7"/>
        <v>1.45</v>
      </c>
      <c r="R19" s="41">
        <f t="shared" si="3"/>
        <v>191078</v>
      </c>
      <c r="S19" s="584">
        <f t="shared" si="4"/>
        <v>100</v>
      </c>
    </row>
    <row r="20" spans="1:19" ht="19.5" customHeight="1">
      <c r="A20" s="1186">
        <v>9</v>
      </c>
      <c r="B20" s="1569" t="s">
        <v>605</v>
      </c>
      <c r="C20" s="220">
        <v>2001</v>
      </c>
      <c r="D20" s="382">
        <v>125158</v>
      </c>
      <c r="E20" s="797">
        <f t="shared" si="8"/>
        <v>90.81</v>
      </c>
      <c r="F20" s="49">
        <v>6886</v>
      </c>
      <c r="G20" s="798">
        <f t="shared" si="9"/>
        <v>5</v>
      </c>
      <c r="H20" s="52">
        <v>70</v>
      </c>
      <c r="I20" s="797">
        <f t="shared" si="1"/>
        <v>0.05</v>
      </c>
      <c r="J20" s="52">
        <v>3</v>
      </c>
      <c r="K20" s="798">
        <f t="shared" si="5"/>
        <v>0</v>
      </c>
      <c r="L20" s="52">
        <v>9</v>
      </c>
      <c r="M20" s="797">
        <f t="shared" si="2"/>
        <v>0.01</v>
      </c>
      <c r="N20" s="52">
        <v>5</v>
      </c>
      <c r="O20" s="798">
        <f t="shared" si="6"/>
        <v>0</v>
      </c>
      <c r="P20" s="49">
        <v>5694</v>
      </c>
      <c r="Q20" s="325">
        <f t="shared" si="7"/>
        <v>4.13</v>
      </c>
      <c r="R20" s="33">
        <f t="shared" si="3"/>
        <v>137825</v>
      </c>
      <c r="S20" s="62">
        <f t="shared" si="4"/>
        <v>100</v>
      </c>
    </row>
    <row r="21" spans="1:19" ht="19.5" customHeight="1">
      <c r="A21" s="1242"/>
      <c r="B21" s="1568"/>
      <c r="C21" s="40">
        <v>1991</v>
      </c>
      <c r="D21" s="48">
        <v>117715</v>
      </c>
      <c r="E21" s="800">
        <f t="shared" si="8"/>
        <v>94.09</v>
      </c>
      <c r="F21" s="48">
        <v>3601</v>
      </c>
      <c r="G21" s="801">
        <f t="shared" si="9"/>
        <v>2.88</v>
      </c>
      <c r="H21" s="53" t="s">
        <v>1127</v>
      </c>
      <c r="I21" s="800" t="str">
        <f t="shared" si="1"/>
        <v>-</v>
      </c>
      <c r="J21" s="53" t="s">
        <v>1127</v>
      </c>
      <c r="K21" s="801" t="str">
        <f t="shared" si="5"/>
        <v>-</v>
      </c>
      <c r="L21" s="53" t="s">
        <v>1127</v>
      </c>
      <c r="M21" s="800" t="str">
        <f t="shared" si="2"/>
        <v>-</v>
      </c>
      <c r="N21" s="53" t="s">
        <v>1127</v>
      </c>
      <c r="O21" s="801" t="str">
        <f t="shared" si="6"/>
        <v>-</v>
      </c>
      <c r="P21" s="48">
        <v>3790</v>
      </c>
      <c r="Q21" s="630">
        <f t="shared" si="7"/>
        <v>3.03</v>
      </c>
      <c r="R21" s="41">
        <f t="shared" si="3"/>
        <v>125106</v>
      </c>
      <c r="S21" s="584">
        <f t="shared" si="4"/>
        <v>100</v>
      </c>
    </row>
    <row r="22" spans="1:19" ht="19.5" customHeight="1">
      <c r="A22" s="1258" t="s">
        <v>1226</v>
      </c>
      <c r="B22" s="1567" t="s">
        <v>1227</v>
      </c>
      <c r="C22" s="220">
        <v>2001</v>
      </c>
      <c r="D22" s="382">
        <v>140831</v>
      </c>
      <c r="E22" s="797">
        <f t="shared" si="8"/>
        <v>80.44</v>
      </c>
      <c r="F22" s="49">
        <v>4410</v>
      </c>
      <c r="G22" s="798">
        <f t="shared" si="9"/>
        <v>2.52</v>
      </c>
      <c r="H22" s="49">
        <v>33</v>
      </c>
      <c r="I22" s="797">
        <f t="shared" si="1"/>
        <v>0.02</v>
      </c>
      <c r="J22" s="52">
        <v>3</v>
      </c>
      <c r="K22" s="798">
        <f t="shared" si="5"/>
        <v>0</v>
      </c>
      <c r="L22" s="49">
        <v>20</v>
      </c>
      <c r="M22" s="797">
        <f t="shared" si="2"/>
        <v>0.01</v>
      </c>
      <c r="N22" s="52">
        <v>1</v>
      </c>
      <c r="O22" s="798">
        <f t="shared" si="6"/>
        <v>0</v>
      </c>
      <c r="P22" s="49">
        <v>29773</v>
      </c>
      <c r="Q22" s="325">
        <f t="shared" si="7"/>
        <v>17.010000000000002</v>
      </c>
      <c r="R22" s="33">
        <f t="shared" si="3"/>
        <v>175071</v>
      </c>
      <c r="S22" s="62">
        <f t="shared" si="4"/>
        <v>100</v>
      </c>
    </row>
    <row r="23" spans="1:19" ht="19.5" customHeight="1">
      <c r="A23" s="1242"/>
      <c r="B23" s="1568"/>
      <c r="C23" s="40">
        <v>1991</v>
      </c>
      <c r="D23" s="48">
        <v>127929</v>
      </c>
      <c r="E23" s="800">
        <f t="shared" si="8"/>
        <v>84.37</v>
      </c>
      <c r="F23" s="48">
        <v>3542</v>
      </c>
      <c r="G23" s="801">
        <f t="shared" si="9"/>
        <v>2.34</v>
      </c>
      <c r="H23" s="48">
        <v>38</v>
      </c>
      <c r="I23" s="800">
        <f>IF(H23="-","-",ROUND(H23/$R23*100,2))-0.01</f>
        <v>1.9999999999999997E-2</v>
      </c>
      <c r="J23" s="53" t="s">
        <v>1127</v>
      </c>
      <c r="K23" s="801" t="str">
        <f t="shared" si="5"/>
        <v>-</v>
      </c>
      <c r="L23" s="48">
        <v>5</v>
      </c>
      <c r="M23" s="800">
        <f t="shared" si="2"/>
        <v>0</v>
      </c>
      <c r="N23" s="53" t="s">
        <v>1127</v>
      </c>
      <c r="O23" s="801" t="str">
        <f t="shared" si="6"/>
        <v>-</v>
      </c>
      <c r="P23" s="48">
        <v>20116</v>
      </c>
      <c r="Q23" s="630">
        <f t="shared" si="7"/>
        <v>13.27</v>
      </c>
      <c r="R23" s="41">
        <f t="shared" si="3"/>
        <v>151630</v>
      </c>
      <c r="S23" s="584">
        <f t="shared" si="4"/>
        <v>100</v>
      </c>
    </row>
    <row r="24" spans="1:19" ht="15" customHeight="1">
      <c r="A24" s="24"/>
      <c r="B24" s="420"/>
      <c r="C24" s="119"/>
      <c r="D24" s="555"/>
      <c r="E24" s="122"/>
      <c r="F24" s="555"/>
      <c r="G24" s="122"/>
      <c r="H24" s="555"/>
      <c r="I24" s="122"/>
      <c r="J24" s="556"/>
      <c r="K24" s="122"/>
      <c r="L24" s="555"/>
      <c r="M24" s="122"/>
      <c r="N24" s="556"/>
      <c r="O24" s="122"/>
      <c r="P24" s="555"/>
      <c r="Q24" s="122"/>
      <c r="R24" s="119"/>
      <c r="S24" s="792" t="s">
        <v>480</v>
      </c>
    </row>
    <row r="25" spans="1:19" ht="17.25" customHeight="1">
      <c r="A25" s="1223" t="s">
        <v>1217</v>
      </c>
      <c r="B25" s="1223"/>
      <c r="C25" s="1223"/>
      <c r="D25" s="1223"/>
      <c r="E25" s="1223"/>
      <c r="F25" s="1223"/>
      <c r="G25" s="1223"/>
      <c r="H25" s="1223"/>
      <c r="I25" s="1223"/>
      <c r="J25" s="1223"/>
      <c r="K25" s="1223"/>
      <c r="L25" s="1223"/>
      <c r="M25" s="1223"/>
      <c r="N25" s="1223"/>
      <c r="O25" s="1223"/>
      <c r="P25" s="1223"/>
      <c r="Q25" s="1223"/>
      <c r="R25" s="1223"/>
      <c r="S25" s="1223"/>
    </row>
    <row r="26" spans="1:19" ht="16.5" customHeight="1">
      <c r="A26" s="1258" t="s">
        <v>255</v>
      </c>
      <c r="B26" s="1194" t="s">
        <v>1237</v>
      </c>
      <c r="C26" s="1259" t="s">
        <v>623</v>
      </c>
      <c r="D26" s="1193" t="s">
        <v>1228</v>
      </c>
      <c r="E26" s="1191"/>
      <c r="F26" s="1193" t="s">
        <v>1229</v>
      </c>
      <c r="G26" s="1192"/>
      <c r="H26" s="1191" t="s">
        <v>1230</v>
      </c>
      <c r="I26" s="1191"/>
      <c r="J26" s="1193" t="s">
        <v>1231</v>
      </c>
      <c r="K26" s="1192"/>
      <c r="L26" s="1191" t="s">
        <v>1232</v>
      </c>
      <c r="M26" s="1191"/>
      <c r="N26" s="1193" t="s">
        <v>1233</v>
      </c>
      <c r="O26" s="1192"/>
      <c r="P26" s="1191" t="s">
        <v>592</v>
      </c>
      <c r="Q26" s="1192"/>
      <c r="R26" s="1191" t="s">
        <v>439</v>
      </c>
      <c r="S26" s="1192"/>
    </row>
    <row r="27" spans="1:19" ht="60.75" customHeight="1">
      <c r="A27" s="1264"/>
      <c r="B27" s="1195"/>
      <c r="C27" s="1265"/>
      <c r="D27" s="207" t="s">
        <v>1420</v>
      </c>
      <c r="E27" s="780" t="s">
        <v>1284</v>
      </c>
      <c r="F27" s="207" t="s">
        <v>1420</v>
      </c>
      <c r="G27" s="780" t="s">
        <v>1284</v>
      </c>
      <c r="H27" s="207" t="s">
        <v>1420</v>
      </c>
      <c r="I27" s="780" t="s">
        <v>1284</v>
      </c>
      <c r="J27" s="207" t="s">
        <v>1420</v>
      </c>
      <c r="K27" s="780" t="s">
        <v>1284</v>
      </c>
      <c r="L27" s="207" t="s">
        <v>1420</v>
      </c>
      <c r="M27" s="780" t="s">
        <v>1284</v>
      </c>
      <c r="N27" s="207" t="s">
        <v>1420</v>
      </c>
      <c r="O27" s="780" t="s">
        <v>1284</v>
      </c>
      <c r="P27" s="207" t="s">
        <v>1420</v>
      </c>
      <c r="Q27" s="780" t="s">
        <v>1284</v>
      </c>
      <c r="R27" s="207" t="s">
        <v>1420</v>
      </c>
      <c r="S27" s="887" t="s">
        <v>1284</v>
      </c>
    </row>
    <row r="28" spans="1:19" ht="15.75" customHeight="1">
      <c r="A28" s="221" t="s">
        <v>418</v>
      </c>
      <c r="B28" s="213" t="s">
        <v>419</v>
      </c>
      <c r="C28" s="222" t="s">
        <v>420</v>
      </c>
      <c r="D28" s="297" t="s">
        <v>421</v>
      </c>
      <c r="E28" s="161" t="s">
        <v>422</v>
      </c>
      <c r="F28" s="221" t="s">
        <v>423</v>
      </c>
      <c r="G28" s="213" t="s">
        <v>424</v>
      </c>
      <c r="H28" s="222" t="s">
        <v>440</v>
      </c>
      <c r="I28" s="221" t="s">
        <v>441</v>
      </c>
      <c r="J28" s="221" t="s">
        <v>442</v>
      </c>
      <c r="K28" s="213" t="s">
        <v>443</v>
      </c>
      <c r="L28" s="222" t="s">
        <v>537</v>
      </c>
      <c r="M28" s="221" t="s">
        <v>538</v>
      </c>
      <c r="N28" s="221" t="s">
        <v>539</v>
      </c>
      <c r="O28" s="213" t="s">
        <v>540</v>
      </c>
      <c r="P28" s="222" t="s">
        <v>542</v>
      </c>
      <c r="Q28" s="213" t="s">
        <v>543</v>
      </c>
      <c r="R28" s="213" t="s">
        <v>545</v>
      </c>
      <c r="S28" s="214" t="s">
        <v>544</v>
      </c>
    </row>
    <row r="29" spans="1:19" ht="19.5" customHeight="1">
      <c r="A29" s="1186">
        <v>12</v>
      </c>
      <c r="B29" s="1569" t="s">
        <v>606</v>
      </c>
      <c r="C29" s="220">
        <v>2001</v>
      </c>
      <c r="D29" s="382">
        <v>58145</v>
      </c>
      <c r="E29" s="802">
        <f t="shared" ref="E29:E35" si="10">IF(D29="-","-",ROUND(D29/$R29*100,2))</f>
        <v>55.73</v>
      </c>
      <c r="F29" s="382">
        <v>1246</v>
      </c>
      <c r="G29" s="803">
        <f>IF(F29="-","-",ROUND(F29/$R29*100,2))+0.01</f>
        <v>1.2</v>
      </c>
      <c r="H29" s="382">
        <v>305</v>
      </c>
      <c r="I29" s="802">
        <f t="shared" ref="I29:I38" si="11">IF(H29="-","-",ROUND(H29/$R29*100,2))</f>
        <v>0.28999999999999998</v>
      </c>
      <c r="J29" s="382">
        <v>2</v>
      </c>
      <c r="K29" s="803">
        <f t="shared" ref="K29:K48" si="12">IF(J29="-","-",ROUND(J29/$R29*100,2))</f>
        <v>0</v>
      </c>
      <c r="L29" s="382">
        <v>1</v>
      </c>
      <c r="M29" s="802">
        <f t="shared" ref="M29:M48" si="13">IF(L29="-","-",ROUND(L29/$R29*100,2))</f>
        <v>0</v>
      </c>
      <c r="N29" s="799" t="s">
        <v>1127</v>
      </c>
      <c r="O29" s="803" t="str">
        <f t="shared" ref="O29:O48" si="14">IF(N29="-","-",ROUND(N29/$R29*100,2))</f>
        <v>-</v>
      </c>
      <c r="P29" s="382">
        <v>44627</v>
      </c>
      <c r="Q29" s="276">
        <f t="shared" ref="Q29:Q36" si="15">IF(P29="-","-",ROUND(P29/$R29*100,2))</f>
        <v>42.78</v>
      </c>
      <c r="R29" s="58">
        <f t="shared" ref="R29:R48" si="16">SUM(D29,F29,H29,J29,L29,N29,P29)</f>
        <v>104326</v>
      </c>
      <c r="S29" s="788">
        <f t="shared" ref="S29:S48" si="17">SUM(E29,G29,I29,K29,M29,O29,Q29)</f>
        <v>100</v>
      </c>
    </row>
    <row r="30" spans="1:19" ht="19.5" customHeight="1">
      <c r="A30" s="1242"/>
      <c r="B30" s="1568"/>
      <c r="C30" s="40">
        <v>1991</v>
      </c>
      <c r="D30" s="48">
        <v>60737</v>
      </c>
      <c r="E30" s="800">
        <f t="shared" si="10"/>
        <v>64.790000000000006</v>
      </c>
      <c r="F30" s="48">
        <v>879</v>
      </c>
      <c r="G30" s="801">
        <f t="shared" ref="G30:G44" si="18">IF(F30="-","-",ROUND(F30/$R30*100,2))</f>
        <v>0.94</v>
      </c>
      <c r="H30" s="48">
        <v>281</v>
      </c>
      <c r="I30" s="800">
        <f t="shared" si="11"/>
        <v>0.3</v>
      </c>
      <c r="J30" s="48">
        <v>1</v>
      </c>
      <c r="K30" s="801">
        <f t="shared" si="12"/>
        <v>0</v>
      </c>
      <c r="L30" s="48">
        <v>4</v>
      </c>
      <c r="M30" s="800">
        <f t="shared" si="13"/>
        <v>0</v>
      </c>
      <c r="N30" s="53" t="s">
        <v>1127</v>
      </c>
      <c r="O30" s="801" t="str">
        <f t="shared" si="14"/>
        <v>-</v>
      </c>
      <c r="P30" s="48">
        <v>31846</v>
      </c>
      <c r="Q30" s="630">
        <f t="shared" si="15"/>
        <v>33.97</v>
      </c>
      <c r="R30" s="41">
        <f t="shared" si="16"/>
        <v>93748</v>
      </c>
      <c r="S30" s="584">
        <f t="shared" si="17"/>
        <v>100</v>
      </c>
    </row>
    <row r="31" spans="1:19" ht="19.5" customHeight="1">
      <c r="A31" s="1186">
        <v>13</v>
      </c>
      <c r="B31" s="1569" t="s">
        <v>347</v>
      </c>
      <c r="C31" s="220">
        <v>2001</v>
      </c>
      <c r="D31" s="382">
        <v>100585</v>
      </c>
      <c r="E31" s="797">
        <f t="shared" si="10"/>
        <v>78.13</v>
      </c>
      <c r="F31" s="49">
        <v>11432</v>
      </c>
      <c r="G31" s="798">
        <f t="shared" si="18"/>
        <v>8.8800000000000008</v>
      </c>
      <c r="H31" s="52">
        <v>1</v>
      </c>
      <c r="I31" s="797">
        <f t="shared" si="11"/>
        <v>0</v>
      </c>
      <c r="J31" s="49">
        <v>1</v>
      </c>
      <c r="K31" s="798">
        <f t="shared" si="12"/>
        <v>0</v>
      </c>
      <c r="L31" s="52">
        <v>3</v>
      </c>
      <c r="M31" s="797">
        <f t="shared" si="13"/>
        <v>0</v>
      </c>
      <c r="N31" s="52" t="s">
        <v>1127</v>
      </c>
      <c r="O31" s="798" t="str">
        <f t="shared" si="14"/>
        <v>-</v>
      </c>
      <c r="P31" s="49">
        <v>16725</v>
      </c>
      <c r="Q31" s="325">
        <f t="shared" si="15"/>
        <v>12.99</v>
      </c>
      <c r="R31" s="33">
        <f t="shared" si="16"/>
        <v>128747</v>
      </c>
      <c r="S31" s="62">
        <f t="shared" si="17"/>
        <v>99.999999999999986</v>
      </c>
    </row>
    <row r="32" spans="1:19" ht="19.5" customHeight="1">
      <c r="A32" s="1242"/>
      <c r="B32" s="1568"/>
      <c r="C32" s="40">
        <v>1991</v>
      </c>
      <c r="D32" s="48">
        <v>89741</v>
      </c>
      <c r="E32" s="800">
        <f t="shared" si="10"/>
        <v>80.430000000000007</v>
      </c>
      <c r="F32" s="48">
        <v>8259</v>
      </c>
      <c r="G32" s="801">
        <f t="shared" si="18"/>
        <v>7.4</v>
      </c>
      <c r="H32" s="53" t="s">
        <v>1127</v>
      </c>
      <c r="I32" s="800" t="str">
        <f t="shared" si="11"/>
        <v>-</v>
      </c>
      <c r="J32" s="53" t="s">
        <v>1127</v>
      </c>
      <c r="K32" s="801" t="str">
        <f t="shared" si="12"/>
        <v>-</v>
      </c>
      <c r="L32" s="53" t="s">
        <v>1127</v>
      </c>
      <c r="M32" s="800" t="str">
        <f t="shared" si="13"/>
        <v>-</v>
      </c>
      <c r="N32" s="53" t="s">
        <v>1127</v>
      </c>
      <c r="O32" s="801" t="str">
        <f t="shared" si="14"/>
        <v>-</v>
      </c>
      <c r="P32" s="48">
        <v>13573</v>
      </c>
      <c r="Q32" s="630">
        <f t="shared" si="15"/>
        <v>12.17</v>
      </c>
      <c r="R32" s="41">
        <f t="shared" si="16"/>
        <v>111573</v>
      </c>
      <c r="S32" s="584">
        <f t="shared" si="17"/>
        <v>100.00000000000001</v>
      </c>
    </row>
    <row r="33" spans="1:19" ht="14.25" customHeight="1">
      <c r="A33" s="1186">
        <v>14</v>
      </c>
      <c r="B33" s="1569" t="s">
        <v>369</v>
      </c>
      <c r="C33" s="220"/>
      <c r="D33" s="382">
        <v>99728</v>
      </c>
      <c r="E33" s="797"/>
      <c r="F33" s="49"/>
      <c r="G33" s="798"/>
      <c r="H33" s="49"/>
      <c r="I33" s="797"/>
      <c r="J33" s="52"/>
      <c r="K33" s="798">
        <f t="shared" si="12"/>
        <v>0</v>
      </c>
      <c r="L33" s="52">
        <v>3</v>
      </c>
      <c r="M33" s="797">
        <f t="shared" si="13"/>
        <v>0</v>
      </c>
      <c r="N33" s="52" t="s">
        <v>1127</v>
      </c>
      <c r="O33" s="798" t="str">
        <f t="shared" si="14"/>
        <v>-</v>
      </c>
      <c r="P33" s="49">
        <v>19202</v>
      </c>
      <c r="Q33" s="325">
        <f t="shared" si="15"/>
        <v>16.149999999999999</v>
      </c>
      <c r="R33" s="33">
        <f t="shared" si="16"/>
        <v>118933</v>
      </c>
      <c r="S33" s="62">
        <f t="shared" si="17"/>
        <v>16.149999999999999</v>
      </c>
    </row>
    <row r="34" spans="1:19" ht="19.5" customHeight="1">
      <c r="A34" s="1242"/>
      <c r="B34" s="1568"/>
      <c r="C34" s="40">
        <v>1991</v>
      </c>
      <c r="D34" s="48">
        <v>91383</v>
      </c>
      <c r="E34" s="800">
        <f t="shared" si="10"/>
        <v>82.1</v>
      </c>
      <c r="F34" s="48">
        <v>6306</v>
      </c>
      <c r="G34" s="801">
        <f t="shared" si="18"/>
        <v>5.67</v>
      </c>
      <c r="H34" s="48">
        <v>15</v>
      </c>
      <c r="I34" s="800">
        <f t="shared" si="11"/>
        <v>0.01</v>
      </c>
      <c r="J34" s="53" t="s">
        <v>1127</v>
      </c>
      <c r="K34" s="801" t="str">
        <f t="shared" si="12"/>
        <v>-</v>
      </c>
      <c r="L34" s="48">
        <v>1</v>
      </c>
      <c r="M34" s="800">
        <f t="shared" si="13"/>
        <v>0</v>
      </c>
      <c r="N34" s="53" t="s">
        <v>1127</v>
      </c>
      <c r="O34" s="801" t="str">
        <f t="shared" si="14"/>
        <v>-</v>
      </c>
      <c r="P34" s="48">
        <v>13603</v>
      </c>
      <c r="Q34" s="630">
        <f t="shared" si="15"/>
        <v>12.22</v>
      </c>
      <c r="R34" s="41">
        <f t="shared" si="16"/>
        <v>111308</v>
      </c>
      <c r="S34" s="584">
        <f t="shared" si="17"/>
        <v>100</v>
      </c>
    </row>
    <row r="35" spans="1:19" ht="19.5" customHeight="1">
      <c r="A35" s="1258" t="s">
        <v>1234</v>
      </c>
      <c r="B35" s="1567" t="s">
        <v>1235</v>
      </c>
      <c r="C35" s="220">
        <v>2001</v>
      </c>
      <c r="D35" s="382">
        <v>177151</v>
      </c>
      <c r="E35" s="797">
        <f t="shared" si="10"/>
        <v>71.89</v>
      </c>
      <c r="F35" s="49">
        <v>2272</v>
      </c>
      <c r="G35" s="798">
        <f t="shared" si="18"/>
        <v>0.92</v>
      </c>
      <c r="H35" s="49">
        <v>1272</v>
      </c>
      <c r="I35" s="797">
        <f t="shared" si="11"/>
        <v>0.52</v>
      </c>
      <c r="J35" s="49">
        <v>15</v>
      </c>
      <c r="K35" s="798">
        <f t="shared" si="12"/>
        <v>0.01</v>
      </c>
      <c r="L35" s="52">
        <v>7</v>
      </c>
      <c r="M35" s="797">
        <f t="shared" si="13"/>
        <v>0</v>
      </c>
      <c r="N35" s="52" t="s">
        <v>1127</v>
      </c>
      <c r="O35" s="798" t="str">
        <f t="shared" si="14"/>
        <v>-</v>
      </c>
      <c r="P35" s="49">
        <v>65704</v>
      </c>
      <c r="Q35" s="325">
        <f t="shared" si="15"/>
        <v>26.66</v>
      </c>
      <c r="R35" s="33">
        <f t="shared" si="16"/>
        <v>246421</v>
      </c>
      <c r="S35" s="62">
        <f t="shared" si="17"/>
        <v>100</v>
      </c>
    </row>
    <row r="36" spans="1:19" ht="19.5" customHeight="1">
      <c r="A36" s="1242"/>
      <c r="B36" s="1568"/>
      <c r="C36" s="40">
        <v>1991</v>
      </c>
      <c r="D36" s="48">
        <v>165883</v>
      </c>
      <c r="E36" s="800">
        <f>IF(D36="-","-",ROUND(D36/$R36*100,2))+0.01</f>
        <v>76.850000000000009</v>
      </c>
      <c r="F36" s="48">
        <v>1837</v>
      </c>
      <c r="G36" s="801">
        <f t="shared" si="18"/>
        <v>0.85</v>
      </c>
      <c r="H36" s="48">
        <v>1290</v>
      </c>
      <c r="I36" s="800">
        <f t="shared" si="11"/>
        <v>0.6</v>
      </c>
      <c r="J36" s="48">
        <v>8</v>
      </c>
      <c r="K36" s="801">
        <f t="shared" si="12"/>
        <v>0</v>
      </c>
      <c r="L36" s="53" t="s">
        <v>1127</v>
      </c>
      <c r="M36" s="800" t="str">
        <f t="shared" si="13"/>
        <v>-</v>
      </c>
      <c r="N36" s="53" t="s">
        <v>1127</v>
      </c>
      <c r="O36" s="801" t="str">
        <f t="shared" si="14"/>
        <v>-</v>
      </c>
      <c r="P36" s="48">
        <v>46852</v>
      </c>
      <c r="Q36" s="630">
        <f t="shared" si="15"/>
        <v>21.7</v>
      </c>
      <c r="R36" s="41">
        <f t="shared" si="16"/>
        <v>215870</v>
      </c>
      <c r="S36" s="584">
        <f t="shared" si="17"/>
        <v>100</v>
      </c>
    </row>
    <row r="37" spans="1:19" ht="19.5" customHeight="1">
      <c r="A37" s="1186">
        <v>17</v>
      </c>
      <c r="B37" s="1569" t="s">
        <v>350</v>
      </c>
      <c r="C37" s="220">
        <v>2001</v>
      </c>
      <c r="D37" s="382">
        <v>110765</v>
      </c>
      <c r="E37" s="797">
        <f>IF(D37="-","-",ROUND(D37/$R37*100,2))</f>
        <v>79.819999999999993</v>
      </c>
      <c r="F37" s="49">
        <v>22746</v>
      </c>
      <c r="G37" s="798">
        <f t="shared" si="18"/>
        <v>16.39</v>
      </c>
      <c r="H37" s="49">
        <v>45</v>
      </c>
      <c r="I37" s="797">
        <f t="shared" si="11"/>
        <v>0.03</v>
      </c>
      <c r="J37" s="52" t="s">
        <v>1127</v>
      </c>
      <c r="K37" s="798" t="str">
        <f t="shared" si="12"/>
        <v>-</v>
      </c>
      <c r="L37" s="52">
        <v>2</v>
      </c>
      <c r="M37" s="797">
        <f t="shared" si="13"/>
        <v>0</v>
      </c>
      <c r="N37" s="52" t="s">
        <v>1127</v>
      </c>
      <c r="O37" s="798" t="str">
        <f t="shared" si="14"/>
        <v>-</v>
      </c>
      <c r="P37" s="49">
        <v>5210</v>
      </c>
      <c r="Q37" s="325">
        <f>IF(P37="-","-",ROUND(P37/$R37*100,2))+0.01</f>
        <v>3.76</v>
      </c>
      <c r="R37" s="33">
        <f t="shared" si="16"/>
        <v>138768</v>
      </c>
      <c r="S37" s="62">
        <f t="shared" si="17"/>
        <v>100</v>
      </c>
    </row>
    <row r="38" spans="1:19" ht="19.5" customHeight="1">
      <c r="A38" s="1242"/>
      <c r="B38" s="1568"/>
      <c r="C38" s="40">
        <v>1991</v>
      </c>
      <c r="D38" s="48">
        <v>97054</v>
      </c>
      <c r="E38" s="800">
        <f>IF(D38="-","-",ROUND(D38/$R38*100,2))+0.01</f>
        <v>84.2</v>
      </c>
      <c r="F38" s="48">
        <v>16525</v>
      </c>
      <c r="G38" s="801">
        <f t="shared" si="18"/>
        <v>14.33</v>
      </c>
      <c r="H38" s="48">
        <v>37</v>
      </c>
      <c r="I38" s="800">
        <f t="shared" si="11"/>
        <v>0.03</v>
      </c>
      <c r="J38" s="48">
        <v>5</v>
      </c>
      <c r="K38" s="801">
        <f t="shared" si="12"/>
        <v>0</v>
      </c>
      <c r="L38" s="48">
        <v>4</v>
      </c>
      <c r="M38" s="800">
        <f t="shared" si="13"/>
        <v>0</v>
      </c>
      <c r="N38" s="53" t="s">
        <v>1127</v>
      </c>
      <c r="O38" s="801" t="str">
        <f t="shared" si="14"/>
        <v>-</v>
      </c>
      <c r="P38" s="48">
        <v>1661</v>
      </c>
      <c r="Q38" s="630">
        <f t="shared" ref="Q38:Q48" si="19">IF(P38="-","-",ROUND(P38/$R38*100,2))</f>
        <v>1.44</v>
      </c>
      <c r="R38" s="41">
        <f t="shared" si="16"/>
        <v>115286</v>
      </c>
      <c r="S38" s="584">
        <f t="shared" si="17"/>
        <v>100</v>
      </c>
    </row>
    <row r="39" spans="1:19" ht="19.5" customHeight="1">
      <c r="A39" s="1186">
        <v>18</v>
      </c>
      <c r="B39" s="1569" t="s">
        <v>351</v>
      </c>
      <c r="C39" s="220">
        <v>2001</v>
      </c>
      <c r="D39" s="382">
        <v>121442</v>
      </c>
      <c r="E39" s="797">
        <f>IF(D39="-","-",ROUND(D39/$R39*100,2))</f>
        <v>85.83</v>
      </c>
      <c r="F39" s="49">
        <v>19730</v>
      </c>
      <c r="G39" s="798">
        <f t="shared" si="18"/>
        <v>13.94</v>
      </c>
      <c r="H39" s="49">
        <v>6</v>
      </c>
      <c r="I39" s="797">
        <f>IF(H39="-","-",ROUND(H39/$R39*100,2))+0.01</f>
        <v>0.01</v>
      </c>
      <c r="J39" s="52">
        <v>3</v>
      </c>
      <c r="K39" s="798">
        <f t="shared" si="12"/>
        <v>0</v>
      </c>
      <c r="L39" s="52">
        <v>2</v>
      </c>
      <c r="M39" s="797">
        <f t="shared" si="13"/>
        <v>0</v>
      </c>
      <c r="N39" s="52" t="s">
        <v>1127</v>
      </c>
      <c r="O39" s="798" t="str">
        <f t="shared" si="14"/>
        <v>-</v>
      </c>
      <c r="P39" s="49">
        <v>314</v>
      </c>
      <c r="Q39" s="325">
        <f t="shared" si="19"/>
        <v>0.22</v>
      </c>
      <c r="R39" s="33">
        <f t="shared" si="16"/>
        <v>141497</v>
      </c>
      <c r="S39" s="62">
        <f t="shared" si="17"/>
        <v>100</v>
      </c>
    </row>
    <row r="40" spans="1:19" ht="19.5" customHeight="1">
      <c r="A40" s="1242"/>
      <c r="B40" s="1568"/>
      <c r="C40" s="40">
        <v>1991</v>
      </c>
      <c r="D40" s="48">
        <v>106543</v>
      </c>
      <c r="E40" s="800">
        <f>IF(D40="-","-",ROUND(D40/$R40*100,2))</f>
        <v>87.27</v>
      </c>
      <c r="F40" s="48">
        <v>15099</v>
      </c>
      <c r="G40" s="801">
        <f t="shared" si="18"/>
        <v>12.37</v>
      </c>
      <c r="H40" s="53" t="s">
        <v>1127</v>
      </c>
      <c r="I40" s="800" t="str">
        <f t="shared" ref="I40:I48" si="20">IF(H40="-","-",ROUND(H40/$R40*100,2))</f>
        <v>-</v>
      </c>
      <c r="J40" s="53" t="s">
        <v>1127</v>
      </c>
      <c r="K40" s="801" t="str">
        <f t="shared" si="12"/>
        <v>-</v>
      </c>
      <c r="L40" s="53" t="s">
        <v>1127</v>
      </c>
      <c r="M40" s="800" t="str">
        <f t="shared" si="13"/>
        <v>-</v>
      </c>
      <c r="N40" s="53" t="s">
        <v>1127</v>
      </c>
      <c r="O40" s="801" t="str">
        <f t="shared" si="14"/>
        <v>-</v>
      </c>
      <c r="P40" s="48">
        <v>440</v>
      </c>
      <c r="Q40" s="630">
        <f t="shared" si="19"/>
        <v>0.36</v>
      </c>
      <c r="R40" s="41">
        <f t="shared" si="16"/>
        <v>122082</v>
      </c>
      <c r="S40" s="584">
        <f t="shared" si="17"/>
        <v>100</v>
      </c>
    </row>
    <row r="41" spans="1:19" ht="19.5" customHeight="1">
      <c r="A41" s="1186">
        <v>19</v>
      </c>
      <c r="B41" s="1569" t="s">
        <v>352</v>
      </c>
      <c r="C41" s="220">
        <v>2001</v>
      </c>
      <c r="D41" s="382">
        <v>138972</v>
      </c>
      <c r="E41" s="797">
        <f>IF(D41="-","-",ROUND(D41/$R41*100,2))</f>
        <v>82.95</v>
      </c>
      <c r="F41" s="49">
        <v>27460</v>
      </c>
      <c r="G41" s="798">
        <f t="shared" si="18"/>
        <v>16.39</v>
      </c>
      <c r="H41" s="49">
        <v>1</v>
      </c>
      <c r="I41" s="797">
        <f t="shared" si="20"/>
        <v>0</v>
      </c>
      <c r="J41" s="52">
        <v>1</v>
      </c>
      <c r="K41" s="798">
        <f t="shared" si="12"/>
        <v>0</v>
      </c>
      <c r="L41" s="52">
        <v>6</v>
      </c>
      <c r="M41" s="797">
        <f t="shared" si="13"/>
        <v>0</v>
      </c>
      <c r="N41" s="52" t="s">
        <v>1127</v>
      </c>
      <c r="O41" s="798" t="str">
        <f t="shared" si="14"/>
        <v>-</v>
      </c>
      <c r="P41" s="49">
        <v>1107</v>
      </c>
      <c r="Q41" s="325">
        <f t="shared" si="19"/>
        <v>0.66</v>
      </c>
      <c r="R41" s="33">
        <f t="shared" si="16"/>
        <v>167547</v>
      </c>
      <c r="S41" s="62">
        <f t="shared" si="17"/>
        <v>100</v>
      </c>
    </row>
    <row r="42" spans="1:19" ht="19.5" customHeight="1">
      <c r="A42" s="1242"/>
      <c r="B42" s="1568"/>
      <c r="C42" s="40">
        <v>1991</v>
      </c>
      <c r="D42" s="48">
        <v>122873</v>
      </c>
      <c r="E42" s="800">
        <f>IF(D42="-","-",ROUND(D42/$R42*100,2))</f>
        <v>85.02</v>
      </c>
      <c r="F42" s="48">
        <v>21410</v>
      </c>
      <c r="G42" s="801">
        <f t="shared" si="18"/>
        <v>14.81</v>
      </c>
      <c r="H42" s="48">
        <v>2</v>
      </c>
      <c r="I42" s="800">
        <f t="shared" si="20"/>
        <v>0</v>
      </c>
      <c r="J42" s="53" t="s">
        <v>1127</v>
      </c>
      <c r="K42" s="801" t="str">
        <f t="shared" si="12"/>
        <v>-</v>
      </c>
      <c r="L42" s="53" t="s">
        <v>1127</v>
      </c>
      <c r="M42" s="800" t="str">
        <f t="shared" si="13"/>
        <v>-</v>
      </c>
      <c r="N42" s="53" t="s">
        <v>1127</v>
      </c>
      <c r="O42" s="801" t="str">
        <f t="shared" si="14"/>
        <v>-</v>
      </c>
      <c r="P42" s="48">
        <v>243</v>
      </c>
      <c r="Q42" s="630">
        <f t="shared" si="19"/>
        <v>0.17</v>
      </c>
      <c r="R42" s="41">
        <f t="shared" si="16"/>
        <v>144528</v>
      </c>
      <c r="S42" s="584">
        <f t="shared" si="17"/>
        <v>100</v>
      </c>
    </row>
    <row r="43" spans="1:19" ht="19.5" customHeight="1">
      <c r="A43" s="1186">
        <v>20</v>
      </c>
      <c r="B43" s="1569" t="s">
        <v>353</v>
      </c>
      <c r="C43" s="220">
        <v>2001</v>
      </c>
      <c r="D43" s="382">
        <v>124344</v>
      </c>
      <c r="E43" s="797">
        <f>IF(D43="-","-",ROUND(D43/$R43*100,2))+0.01</f>
        <v>87.37</v>
      </c>
      <c r="F43" s="49">
        <v>16723</v>
      </c>
      <c r="G43" s="798">
        <f t="shared" si="18"/>
        <v>11.75</v>
      </c>
      <c r="H43" s="52">
        <v>4</v>
      </c>
      <c r="I43" s="797">
        <f t="shared" si="20"/>
        <v>0</v>
      </c>
      <c r="J43" s="49">
        <v>1</v>
      </c>
      <c r="K43" s="798">
        <f t="shared" si="12"/>
        <v>0</v>
      </c>
      <c r="L43" s="52">
        <v>2</v>
      </c>
      <c r="M43" s="797">
        <f t="shared" si="13"/>
        <v>0</v>
      </c>
      <c r="N43" s="52" t="s">
        <v>1127</v>
      </c>
      <c r="O43" s="798" t="str">
        <f t="shared" si="14"/>
        <v>-</v>
      </c>
      <c r="P43" s="49">
        <v>1254</v>
      </c>
      <c r="Q43" s="325">
        <f t="shared" si="19"/>
        <v>0.88</v>
      </c>
      <c r="R43" s="33">
        <f t="shared" si="16"/>
        <v>142328</v>
      </c>
      <c r="S43" s="62">
        <f t="shared" si="17"/>
        <v>100</v>
      </c>
    </row>
    <row r="44" spans="1:19" ht="19.5" customHeight="1">
      <c r="A44" s="1242"/>
      <c r="B44" s="1568"/>
      <c r="C44" s="40">
        <v>1991</v>
      </c>
      <c r="D44" s="48">
        <v>109295</v>
      </c>
      <c r="E44" s="800">
        <f>IF(D44="-","-",ROUND(D44/$R44*100,2))</f>
        <v>88.38</v>
      </c>
      <c r="F44" s="48">
        <v>13920</v>
      </c>
      <c r="G44" s="801">
        <f t="shared" si="18"/>
        <v>11.26</v>
      </c>
      <c r="H44" s="53" t="s">
        <v>1127</v>
      </c>
      <c r="I44" s="800" t="str">
        <f t="shared" si="20"/>
        <v>-</v>
      </c>
      <c r="J44" s="53" t="s">
        <v>1127</v>
      </c>
      <c r="K44" s="801" t="str">
        <f t="shared" si="12"/>
        <v>-</v>
      </c>
      <c r="L44" s="53" t="s">
        <v>1127</v>
      </c>
      <c r="M44" s="800" t="str">
        <f t="shared" si="13"/>
        <v>-</v>
      </c>
      <c r="N44" s="53" t="s">
        <v>1127</v>
      </c>
      <c r="O44" s="801" t="str">
        <f t="shared" si="14"/>
        <v>-</v>
      </c>
      <c r="P44" s="48">
        <v>450</v>
      </c>
      <c r="Q44" s="630">
        <f t="shared" si="19"/>
        <v>0.36</v>
      </c>
      <c r="R44" s="41">
        <f t="shared" si="16"/>
        <v>123665</v>
      </c>
      <c r="S44" s="584">
        <f t="shared" si="17"/>
        <v>100</v>
      </c>
    </row>
    <row r="45" spans="1:19" ht="19.5" customHeight="1">
      <c r="A45" s="1186">
        <v>21</v>
      </c>
      <c r="B45" s="1569" t="s">
        <v>354</v>
      </c>
      <c r="C45" s="220">
        <v>2001</v>
      </c>
      <c r="D45" s="382">
        <v>140030</v>
      </c>
      <c r="E45" s="797">
        <f>IF(D45="-","-",ROUND(D45/$R45*100,2))</f>
        <v>85.35</v>
      </c>
      <c r="F45" s="49">
        <v>20532</v>
      </c>
      <c r="G45" s="798">
        <f>IF(F45="-","-",ROUND(F45/$R45*100,2))+0.01</f>
        <v>12.52</v>
      </c>
      <c r="H45" s="49">
        <v>5</v>
      </c>
      <c r="I45" s="797">
        <f t="shared" si="20"/>
        <v>0</v>
      </c>
      <c r="J45" s="52">
        <v>12</v>
      </c>
      <c r="K45" s="798">
        <f t="shared" si="12"/>
        <v>0.01</v>
      </c>
      <c r="L45" s="52">
        <v>5</v>
      </c>
      <c r="M45" s="797">
        <f t="shared" si="13"/>
        <v>0</v>
      </c>
      <c r="N45" s="52">
        <v>1</v>
      </c>
      <c r="O45" s="798">
        <f t="shared" si="14"/>
        <v>0</v>
      </c>
      <c r="P45" s="49">
        <v>3475</v>
      </c>
      <c r="Q45" s="325">
        <f t="shared" si="19"/>
        <v>2.12</v>
      </c>
      <c r="R45" s="33">
        <f t="shared" si="16"/>
        <v>164060</v>
      </c>
      <c r="S45" s="62">
        <f t="shared" si="17"/>
        <v>100</v>
      </c>
    </row>
    <row r="46" spans="1:19" ht="19.5" customHeight="1">
      <c r="A46" s="1242"/>
      <c r="B46" s="1568"/>
      <c r="C46" s="40">
        <v>1991</v>
      </c>
      <c r="D46" s="48">
        <v>123012</v>
      </c>
      <c r="E46" s="800">
        <f>IF(D46="-","-",ROUND(D46/$R46*100,2))+0.01</f>
        <v>87.5</v>
      </c>
      <c r="F46" s="48">
        <v>17056</v>
      </c>
      <c r="G46" s="801">
        <f>IF(F46="-","-",ROUND(F46/$R46*100,2))</f>
        <v>12.13</v>
      </c>
      <c r="H46" s="48">
        <v>7</v>
      </c>
      <c r="I46" s="800">
        <f t="shared" si="20"/>
        <v>0</v>
      </c>
      <c r="J46" s="53" t="s">
        <v>1127</v>
      </c>
      <c r="K46" s="801" t="str">
        <f t="shared" si="12"/>
        <v>-</v>
      </c>
      <c r="L46" s="53" t="s">
        <v>1127</v>
      </c>
      <c r="M46" s="800" t="str">
        <f t="shared" si="13"/>
        <v>-</v>
      </c>
      <c r="N46" s="53" t="s">
        <v>1127</v>
      </c>
      <c r="O46" s="801" t="str">
        <f t="shared" si="14"/>
        <v>-</v>
      </c>
      <c r="P46" s="48">
        <v>525</v>
      </c>
      <c r="Q46" s="630">
        <f t="shared" si="19"/>
        <v>0.37</v>
      </c>
      <c r="R46" s="41">
        <f t="shared" si="16"/>
        <v>140600</v>
      </c>
      <c r="S46" s="584">
        <f t="shared" si="17"/>
        <v>100</v>
      </c>
    </row>
    <row r="47" spans="1:19" ht="19.5" customHeight="1">
      <c r="A47" s="1188">
        <v>22</v>
      </c>
      <c r="B47" s="1572" t="s">
        <v>479</v>
      </c>
      <c r="C47" s="220">
        <v>2001</v>
      </c>
      <c r="D47" s="49">
        <v>126022</v>
      </c>
      <c r="E47" s="797">
        <f>IF(D47="-","-",ROUND(D47/$R47*100,2))</f>
        <v>82.45</v>
      </c>
      <c r="F47" s="49">
        <v>26487</v>
      </c>
      <c r="G47" s="798">
        <f>IF(F47="-","-",ROUND(F47/$R47*100,2))</f>
        <v>17.329999999999998</v>
      </c>
      <c r="H47" s="49">
        <v>2</v>
      </c>
      <c r="I47" s="797">
        <f t="shared" si="20"/>
        <v>0</v>
      </c>
      <c r="J47" s="52" t="s">
        <v>1127</v>
      </c>
      <c r="K47" s="798" t="str">
        <f t="shared" si="12"/>
        <v>-</v>
      </c>
      <c r="L47" s="52">
        <v>7</v>
      </c>
      <c r="M47" s="797">
        <f t="shared" si="13"/>
        <v>0</v>
      </c>
      <c r="N47" s="52" t="s">
        <v>1127</v>
      </c>
      <c r="O47" s="798" t="str">
        <f t="shared" si="14"/>
        <v>-</v>
      </c>
      <c r="P47" s="49">
        <v>329</v>
      </c>
      <c r="Q47" s="325">
        <f t="shared" si="19"/>
        <v>0.22</v>
      </c>
      <c r="R47" s="33">
        <f t="shared" si="16"/>
        <v>152847</v>
      </c>
      <c r="S47" s="62">
        <f t="shared" si="17"/>
        <v>100</v>
      </c>
    </row>
    <row r="48" spans="1:19" ht="19.5" customHeight="1">
      <c r="A48" s="1242"/>
      <c r="B48" s="1568"/>
      <c r="C48" s="40">
        <v>1991</v>
      </c>
      <c r="D48" s="48">
        <v>109881</v>
      </c>
      <c r="E48" s="800">
        <f>IF(D48="-","-",ROUND(D48/$R48*100,2))</f>
        <v>83.03</v>
      </c>
      <c r="F48" s="48">
        <v>22328</v>
      </c>
      <c r="G48" s="801">
        <f>IF(F48="-","-",ROUND(F48/$R48*100,2))</f>
        <v>16.87</v>
      </c>
      <c r="H48" s="48">
        <v>2</v>
      </c>
      <c r="I48" s="800">
        <f t="shared" si="20"/>
        <v>0</v>
      </c>
      <c r="J48" s="53" t="s">
        <v>1127</v>
      </c>
      <c r="K48" s="801" t="str">
        <f t="shared" si="12"/>
        <v>-</v>
      </c>
      <c r="L48" s="53" t="s">
        <v>1127</v>
      </c>
      <c r="M48" s="800" t="str">
        <f t="shared" si="13"/>
        <v>-</v>
      </c>
      <c r="N48" s="53" t="s">
        <v>1127</v>
      </c>
      <c r="O48" s="801" t="str">
        <f t="shared" si="14"/>
        <v>-</v>
      </c>
      <c r="P48" s="48">
        <v>133</v>
      </c>
      <c r="Q48" s="630">
        <f t="shared" si="19"/>
        <v>0.1</v>
      </c>
      <c r="R48" s="41">
        <f t="shared" si="16"/>
        <v>132344</v>
      </c>
      <c r="S48" s="584">
        <f t="shared" si="17"/>
        <v>100</v>
      </c>
    </row>
    <row r="49" spans="1:19">
      <c r="A49" s="793"/>
      <c r="B49" s="793"/>
      <c r="C49" s="793"/>
      <c r="D49" s="793"/>
      <c r="E49" s="793"/>
      <c r="F49" s="793"/>
      <c r="G49" s="793"/>
      <c r="H49" s="5"/>
      <c r="I49" s="51"/>
      <c r="J49" s="51"/>
      <c r="K49" s="51"/>
      <c r="L49" s="51"/>
      <c r="M49" s="51"/>
      <c r="N49" s="51"/>
      <c r="O49" s="1571" t="s">
        <v>1236</v>
      </c>
      <c r="P49" s="1571"/>
      <c r="Q49" s="1571"/>
      <c r="R49" s="1571"/>
      <c r="S49" s="1571"/>
    </row>
    <row r="50" spans="1:19">
      <c r="A50" s="794"/>
      <c r="B50" s="794"/>
      <c r="C50" s="794"/>
      <c r="D50" s="794"/>
      <c r="E50" s="794"/>
      <c r="F50" s="794"/>
      <c r="G50" s="794"/>
      <c r="H50" s="5"/>
      <c r="I50" s="795"/>
      <c r="J50" s="795"/>
      <c r="K50" s="5"/>
      <c r="L50" s="5"/>
      <c r="M50" s="5"/>
      <c r="N50" s="5"/>
      <c r="O50" s="5"/>
      <c r="P50" s="5"/>
      <c r="Q50" s="5"/>
      <c r="R50" s="5"/>
      <c r="S50" s="5"/>
    </row>
    <row r="51" spans="1:19">
      <c r="A51" s="794"/>
      <c r="B51" s="794"/>
      <c r="C51" s="794"/>
      <c r="D51" s="794"/>
      <c r="E51" s="794"/>
      <c r="F51" s="794"/>
      <c r="G51" s="794"/>
      <c r="H51" s="5"/>
      <c r="I51" s="5"/>
      <c r="J51" s="5"/>
      <c r="K51" s="5"/>
      <c r="L51" s="5"/>
      <c r="M51" s="5"/>
      <c r="N51" s="5"/>
      <c r="O51" s="5"/>
      <c r="P51" s="796"/>
      <c r="Q51" s="5"/>
      <c r="R51" s="5"/>
      <c r="S51" s="5"/>
    </row>
    <row r="52" spans="1:19">
      <c r="A52" s="2"/>
      <c r="B52" s="5"/>
      <c r="C52" s="5"/>
      <c r="D52" s="5"/>
      <c r="E52" s="5"/>
      <c r="F52" s="5"/>
      <c r="G52" s="5"/>
      <c r="H52" s="5"/>
      <c r="I52" s="5"/>
      <c r="J52" s="5"/>
      <c r="K52" s="5"/>
      <c r="L52" s="5"/>
      <c r="M52" s="5"/>
      <c r="N52" s="5"/>
      <c r="O52" s="5"/>
      <c r="P52" s="5"/>
      <c r="Q52" s="5"/>
      <c r="R52" s="5"/>
      <c r="S52" s="5"/>
    </row>
  </sheetData>
  <mergeCells count="64">
    <mergeCell ref="O49:S49"/>
    <mergeCell ref="A45:A46"/>
    <mergeCell ref="B45:B46"/>
    <mergeCell ref="A47:A48"/>
    <mergeCell ref="B47:B48"/>
    <mergeCell ref="A39:A40"/>
    <mergeCell ref="B39:B40"/>
    <mergeCell ref="A43:A44"/>
    <mergeCell ref="B43:B44"/>
    <mergeCell ref="A41:A42"/>
    <mergeCell ref="B41:B42"/>
    <mergeCell ref="A37:A38"/>
    <mergeCell ref="B37:B38"/>
    <mergeCell ref="A31:A32"/>
    <mergeCell ref="B31:B32"/>
    <mergeCell ref="A33:A34"/>
    <mergeCell ref="B33:B34"/>
    <mergeCell ref="A35:A36"/>
    <mergeCell ref="B35:B36"/>
    <mergeCell ref="A29:A30"/>
    <mergeCell ref="B29:B30"/>
    <mergeCell ref="A22:A23"/>
    <mergeCell ref="B22:B23"/>
    <mergeCell ref="A25:S25"/>
    <mergeCell ref="A26:A27"/>
    <mergeCell ref="B26:B27"/>
    <mergeCell ref="C26:C27"/>
    <mergeCell ref="D26:E26"/>
    <mergeCell ref="F26:G26"/>
    <mergeCell ref="L26:M26"/>
    <mergeCell ref="N26:O26"/>
    <mergeCell ref="P26:Q26"/>
    <mergeCell ref="R26:S26"/>
    <mergeCell ref="B10:B11"/>
    <mergeCell ref="A12:A13"/>
    <mergeCell ref="B12:B13"/>
    <mergeCell ref="H26:I26"/>
    <mergeCell ref="J26:K26"/>
    <mergeCell ref="A16:A17"/>
    <mergeCell ref="B16:B17"/>
    <mergeCell ref="A18:A19"/>
    <mergeCell ref="B18:B19"/>
    <mergeCell ref="A20:A21"/>
    <mergeCell ref="A14:A15"/>
    <mergeCell ref="B14:B15"/>
    <mergeCell ref="A10:A11"/>
    <mergeCell ref="B20:B21"/>
    <mergeCell ref="A6:A7"/>
    <mergeCell ref="B6:B7"/>
    <mergeCell ref="A8:A9"/>
    <mergeCell ref="B8:B9"/>
    <mergeCell ref="N3:O3"/>
    <mergeCell ref="A1:S1"/>
    <mergeCell ref="A2:S2"/>
    <mergeCell ref="A3:A4"/>
    <mergeCell ref="B3:B4"/>
    <mergeCell ref="C3:C4"/>
    <mergeCell ref="D3:E3"/>
    <mergeCell ref="F3:G3"/>
    <mergeCell ref="H3:I3"/>
    <mergeCell ref="J3:K3"/>
    <mergeCell ref="L3:M3"/>
    <mergeCell ref="R3:S3"/>
    <mergeCell ref="P3:Q3"/>
  </mergeCells>
  <phoneticPr fontId="0" type="noConversion"/>
  <printOptions horizontalCentered="1" verticalCentered="1"/>
  <pageMargins left="0.1" right="0.1" top="0.7" bottom="0.59" header="0.5" footer="0.5"/>
  <pageSetup paperSize="9" orientation="landscape" r:id="rId1"/>
  <headerFooter alignWithMargins="0"/>
  <rowBreaks count="1" manualBreakCount="1">
    <brk id="24" max="16383" man="1"/>
  </rowBreaks>
  <drawing r:id="rId2"/>
</worksheet>
</file>

<file path=xl/worksheets/sheet8.xml><?xml version="1.0" encoding="utf-8"?>
<worksheet xmlns="http://schemas.openxmlformats.org/spreadsheetml/2006/main" xmlns:r="http://schemas.openxmlformats.org/officeDocument/2006/relationships">
  <sheetPr codeName="Sheet7"/>
  <dimension ref="A1:T55"/>
  <sheetViews>
    <sheetView topLeftCell="A16" workbookViewId="0">
      <selection activeCell="M30" sqref="M30"/>
    </sheetView>
  </sheetViews>
  <sheetFormatPr defaultRowHeight="12.75"/>
  <cols>
    <col min="1" max="1" width="17.85546875" style="5" customWidth="1"/>
    <col min="2" max="2" width="12.5703125" style="5" customWidth="1"/>
    <col min="3" max="3" width="12.7109375" style="5" customWidth="1"/>
    <col min="4" max="4" width="6.140625" style="5" customWidth="1"/>
    <col min="5" max="5" width="5.7109375" style="5" customWidth="1"/>
    <col min="6" max="6" width="7.42578125" style="5" customWidth="1"/>
    <col min="7" max="7" width="7" style="5" customWidth="1"/>
    <col min="8" max="8" width="8.28515625" style="5" customWidth="1"/>
    <col min="9" max="9" width="6.85546875" style="5" customWidth="1"/>
    <col min="10" max="10" width="6.140625" style="5" customWidth="1"/>
    <col min="11" max="11" width="6.42578125" style="5" customWidth="1"/>
    <col min="12" max="12" width="5.140625" style="5" customWidth="1"/>
    <col min="13" max="13" width="6" style="5" customWidth="1"/>
    <col min="14" max="15" width="5.7109375" style="5" customWidth="1"/>
    <col min="16" max="16" width="7.140625" style="5" customWidth="1"/>
    <col min="17" max="17" width="6.140625" style="5" customWidth="1"/>
    <col min="18" max="18" width="7.140625" style="5" customWidth="1"/>
    <col min="19" max="16384" width="9.140625" style="5"/>
  </cols>
  <sheetData>
    <row r="1" spans="1:20" ht="12" customHeight="1">
      <c r="A1" s="1223" t="s">
        <v>1606</v>
      </c>
      <c r="B1" s="1223"/>
      <c r="C1" s="1223"/>
      <c r="D1" s="1223"/>
      <c r="E1" s="1223"/>
      <c r="F1" s="1223"/>
      <c r="G1" s="1223"/>
      <c r="H1" s="1223"/>
      <c r="I1" s="1223"/>
      <c r="J1" s="1223"/>
      <c r="K1" s="1223"/>
      <c r="L1" s="1223"/>
      <c r="M1" s="1223"/>
      <c r="N1" s="1223"/>
      <c r="O1" s="1223"/>
      <c r="P1" s="1223"/>
      <c r="Q1" s="1223"/>
      <c r="R1" s="1223"/>
    </row>
    <row r="2" spans="1:20" ht="14.25" customHeight="1">
      <c r="A2" s="1214" t="str">
        <f>"Administrative Units in the district of Bankura for the year " &amp; District!$B$5</f>
        <v>Administrative Units in the district of Bankura for the year 2014</v>
      </c>
      <c r="B2" s="1214"/>
      <c r="C2" s="1214"/>
      <c r="D2" s="1214"/>
      <c r="E2" s="1214"/>
      <c r="F2" s="1214"/>
      <c r="G2" s="1214"/>
      <c r="H2" s="1214"/>
      <c r="I2" s="1214"/>
      <c r="J2" s="1214"/>
      <c r="K2" s="1214"/>
      <c r="L2" s="1214"/>
      <c r="M2" s="1214"/>
      <c r="N2" s="1214"/>
      <c r="O2" s="1214"/>
      <c r="P2" s="1214"/>
      <c r="Q2" s="1214"/>
      <c r="R2" s="1214"/>
    </row>
    <row r="3" spans="1:20">
      <c r="A3" s="46"/>
      <c r="B3" s="80"/>
      <c r="C3" s="80"/>
      <c r="D3" s="80"/>
      <c r="E3" s="80"/>
      <c r="F3" s="46"/>
      <c r="G3" s="1215"/>
      <c r="H3" s="1215"/>
      <c r="I3" s="1215"/>
      <c r="J3" s="1215"/>
      <c r="K3" s="81"/>
      <c r="L3" s="81"/>
      <c r="M3" s="46"/>
      <c r="N3" s="46"/>
      <c r="O3" s="46"/>
      <c r="P3" s="46"/>
      <c r="Q3" s="1216" t="s">
        <v>452</v>
      </c>
      <c r="R3" s="1216"/>
    </row>
    <row r="4" spans="1:20" s="6" customFormat="1" ht="15" customHeight="1">
      <c r="A4" s="1211" t="s">
        <v>447</v>
      </c>
      <c r="B4" s="1194" t="s">
        <v>682</v>
      </c>
      <c r="C4" s="1194" t="s">
        <v>271</v>
      </c>
      <c r="D4" s="1193" t="s">
        <v>448</v>
      </c>
      <c r="E4" s="1191"/>
      <c r="F4" s="1192"/>
      <c r="G4" s="1187" t="s">
        <v>740</v>
      </c>
      <c r="H4" s="1194" t="s">
        <v>309</v>
      </c>
      <c r="I4" s="1194" t="s">
        <v>683</v>
      </c>
      <c r="J4" s="1191" t="s">
        <v>453</v>
      </c>
      <c r="K4" s="1191"/>
      <c r="L4" s="1191"/>
      <c r="M4" s="1191"/>
      <c r="N4" s="1191"/>
      <c r="O4" s="1191"/>
      <c r="P4" s="1191"/>
      <c r="Q4" s="1191"/>
      <c r="R4" s="1192"/>
    </row>
    <row r="5" spans="1:20" s="6" customFormat="1" ht="27" customHeight="1">
      <c r="A5" s="1212"/>
      <c r="B5" s="1217"/>
      <c r="C5" s="1217"/>
      <c r="D5" s="1196" t="s">
        <v>449</v>
      </c>
      <c r="E5" s="1183" t="s">
        <v>450</v>
      </c>
      <c r="F5" s="1194" t="s">
        <v>319</v>
      </c>
      <c r="G5" s="1183"/>
      <c r="H5" s="1195"/>
      <c r="I5" s="1195"/>
      <c r="J5" s="1219" t="s">
        <v>1631</v>
      </c>
      <c r="K5" s="1220"/>
      <c r="L5" s="1193" t="s">
        <v>317</v>
      </c>
      <c r="M5" s="1192"/>
      <c r="N5" s="1193" t="s">
        <v>456</v>
      </c>
      <c r="O5" s="1191"/>
      <c r="P5" s="207" t="s">
        <v>457</v>
      </c>
      <c r="Q5" s="207" t="s">
        <v>684</v>
      </c>
      <c r="R5" s="1194" t="s">
        <v>439</v>
      </c>
    </row>
    <row r="6" spans="1:20" s="6" customFormat="1" ht="14.25" customHeight="1">
      <c r="A6" s="1213"/>
      <c r="B6" s="1195"/>
      <c r="C6" s="1195"/>
      <c r="D6" s="1197"/>
      <c r="E6" s="1218"/>
      <c r="F6" s="1195"/>
      <c r="G6" s="213" t="s">
        <v>451</v>
      </c>
      <c r="H6" s="213" t="s">
        <v>7</v>
      </c>
      <c r="I6" s="213" t="s">
        <v>7</v>
      </c>
      <c r="J6" s="212" t="s">
        <v>454</v>
      </c>
      <c r="K6" s="24" t="s">
        <v>455</v>
      </c>
      <c r="L6" s="212" t="s">
        <v>454</v>
      </c>
      <c r="M6" s="24" t="s">
        <v>455</v>
      </c>
      <c r="N6" s="212" t="s">
        <v>454</v>
      </c>
      <c r="O6" s="24" t="s">
        <v>455</v>
      </c>
      <c r="P6" s="213" t="s">
        <v>7</v>
      </c>
      <c r="Q6" s="213" t="s">
        <v>7</v>
      </c>
      <c r="R6" s="1197"/>
    </row>
    <row r="7" spans="1:20" ht="12.75" customHeight="1">
      <c r="A7" s="252" t="s">
        <v>418</v>
      </c>
      <c r="B7" s="222" t="s">
        <v>419</v>
      </c>
      <c r="C7" s="213" t="s">
        <v>420</v>
      </c>
      <c r="D7" s="222" t="s">
        <v>421</v>
      </c>
      <c r="E7" s="213" t="s">
        <v>422</v>
      </c>
      <c r="F7" s="222" t="s">
        <v>423</v>
      </c>
      <c r="G7" s="213" t="s">
        <v>424</v>
      </c>
      <c r="H7" s="222" t="s">
        <v>440</v>
      </c>
      <c r="I7" s="213" t="s">
        <v>441</v>
      </c>
      <c r="J7" s="222" t="s">
        <v>442</v>
      </c>
      <c r="K7" s="213" t="s">
        <v>443</v>
      </c>
      <c r="L7" s="222" t="s">
        <v>537</v>
      </c>
      <c r="M7" s="213" t="s">
        <v>538</v>
      </c>
      <c r="N7" s="222" t="s">
        <v>539</v>
      </c>
      <c r="O7" s="213" t="s">
        <v>540</v>
      </c>
      <c r="P7" s="222" t="s">
        <v>542</v>
      </c>
      <c r="Q7" s="213" t="s">
        <v>543</v>
      </c>
      <c r="R7" s="214" t="s">
        <v>545</v>
      </c>
    </row>
    <row r="8" spans="1:20" ht="13.5" customHeight="1">
      <c r="A8" s="82" t="s">
        <v>1077</v>
      </c>
      <c r="B8" s="11">
        <v>9</v>
      </c>
      <c r="C8" s="253" t="s">
        <v>363</v>
      </c>
      <c r="D8" s="65">
        <f t="shared" ref="D8:R8" si="0">SUM(D9:D18)</f>
        <v>8</v>
      </c>
      <c r="E8" s="65">
        <f t="shared" si="0"/>
        <v>75</v>
      </c>
      <c r="F8" s="65">
        <f t="shared" si="0"/>
        <v>979</v>
      </c>
      <c r="G8" s="65">
        <f t="shared" si="0"/>
        <v>1479</v>
      </c>
      <c r="H8" s="65">
        <f t="shared" si="0"/>
        <v>1384</v>
      </c>
      <c r="I8" s="65">
        <f t="shared" si="0"/>
        <v>302314</v>
      </c>
      <c r="J8" s="254" t="s">
        <v>1127</v>
      </c>
      <c r="K8" s="254" t="s">
        <v>1127</v>
      </c>
      <c r="L8" s="65">
        <f t="shared" si="0"/>
        <v>1</v>
      </c>
      <c r="M8" s="65">
        <f t="shared" si="0"/>
        <v>23</v>
      </c>
      <c r="N8" s="254" t="s">
        <v>1127</v>
      </c>
      <c r="O8" s="254" t="s">
        <v>1127</v>
      </c>
      <c r="P8" s="65">
        <f t="shared" si="0"/>
        <v>4</v>
      </c>
      <c r="Q8" s="254" t="s">
        <v>1127</v>
      </c>
      <c r="R8" s="28">
        <f t="shared" si="0"/>
        <v>5</v>
      </c>
    </row>
    <row r="9" spans="1:20" ht="13.5" customHeight="1">
      <c r="A9" s="82"/>
      <c r="B9" s="1221" t="s">
        <v>514</v>
      </c>
      <c r="C9" s="74" t="s">
        <v>596</v>
      </c>
      <c r="D9" s="33">
        <v>1</v>
      </c>
      <c r="E9" s="33">
        <v>6</v>
      </c>
      <c r="F9" s="33">
        <v>82</v>
      </c>
      <c r="G9" s="33">
        <v>150</v>
      </c>
      <c r="H9" s="83">
        <v>137</v>
      </c>
      <c r="I9" s="33">
        <v>21917</v>
      </c>
      <c r="J9" s="33" t="s">
        <v>1127</v>
      </c>
      <c r="K9" s="33" t="s">
        <v>1127</v>
      </c>
      <c r="L9" s="33" t="s">
        <v>1127</v>
      </c>
      <c r="M9" s="33" t="s">
        <v>1127</v>
      </c>
      <c r="N9" s="33" t="s">
        <v>1127</v>
      </c>
      <c r="O9" s="33" t="s">
        <v>1127</v>
      </c>
      <c r="P9" s="33" t="s">
        <v>1127</v>
      </c>
      <c r="Q9" s="33" t="s">
        <v>1127</v>
      </c>
      <c r="R9" s="39" t="str">
        <f t="shared" ref="R9:R37" si="1">IF(SUM(J9,L9,N9,P9,Q9)=0,"-",SUM(J9,L9,N9,P9,Q9))</f>
        <v>-</v>
      </c>
      <c r="T9"/>
    </row>
    <row r="10" spans="1:20" ht="13.5" customHeight="1">
      <c r="A10" s="82"/>
      <c r="B10" s="1221"/>
      <c r="C10" s="74" t="s">
        <v>312</v>
      </c>
      <c r="D10" s="33" t="s">
        <v>1127</v>
      </c>
      <c r="E10" s="33" t="s">
        <v>1127</v>
      </c>
      <c r="F10" s="33" t="s">
        <v>1127</v>
      </c>
      <c r="G10" s="33" t="s">
        <v>1127</v>
      </c>
      <c r="H10" s="33" t="s">
        <v>1127</v>
      </c>
      <c r="I10" s="33">
        <v>29807</v>
      </c>
      <c r="J10" s="33" t="s">
        <v>1127</v>
      </c>
      <c r="K10" s="33" t="s">
        <v>1127</v>
      </c>
      <c r="L10" s="33">
        <v>1</v>
      </c>
      <c r="M10" s="33">
        <v>23</v>
      </c>
      <c r="N10" s="33" t="s">
        <v>1127</v>
      </c>
      <c r="O10" s="33" t="s">
        <v>1127</v>
      </c>
      <c r="P10" s="33" t="s">
        <v>1127</v>
      </c>
      <c r="Q10" s="33" t="s">
        <v>1127</v>
      </c>
      <c r="R10" s="39">
        <f t="shared" si="1"/>
        <v>1</v>
      </c>
      <c r="T10"/>
    </row>
    <row r="11" spans="1:20" ht="13.5" customHeight="1">
      <c r="A11" s="82"/>
      <c r="B11" s="1221"/>
      <c r="C11" s="74" t="s">
        <v>595</v>
      </c>
      <c r="D11" s="33">
        <v>1</v>
      </c>
      <c r="E11" s="33">
        <v>7</v>
      </c>
      <c r="F11" s="33">
        <v>102</v>
      </c>
      <c r="G11" s="33">
        <v>154</v>
      </c>
      <c r="H11" s="83">
        <v>144</v>
      </c>
      <c r="I11" s="33">
        <v>29502</v>
      </c>
      <c r="J11" s="33" t="s">
        <v>1127</v>
      </c>
      <c r="K11" s="33" t="s">
        <v>1127</v>
      </c>
      <c r="L11" s="33" t="s">
        <v>1127</v>
      </c>
      <c r="M11" s="33" t="s">
        <v>1127</v>
      </c>
      <c r="N11" s="33" t="s">
        <v>1127</v>
      </c>
      <c r="O11" s="33" t="s">
        <v>1127</v>
      </c>
      <c r="P11" s="33" t="s">
        <v>1127</v>
      </c>
      <c r="Q11" s="33" t="s">
        <v>1127</v>
      </c>
      <c r="R11" s="39" t="str">
        <f t="shared" si="1"/>
        <v>-</v>
      </c>
      <c r="T11"/>
    </row>
    <row r="12" spans="1:20" ht="13.5" customHeight="1">
      <c r="A12" s="82"/>
      <c r="B12" s="16" t="s">
        <v>597</v>
      </c>
      <c r="C12" s="74" t="s">
        <v>597</v>
      </c>
      <c r="D12" s="33">
        <v>1</v>
      </c>
      <c r="E12" s="33">
        <v>13</v>
      </c>
      <c r="F12" s="33">
        <v>147</v>
      </c>
      <c r="G12" s="33">
        <v>288</v>
      </c>
      <c r="H12" s="33">
        <v>277</v>
      </c>
      <c r="I12" s="33">
        <v>40009</v>
      </c>
      <c r="J12" s="33" t="s">
        <v>1127</v>
      </c>
      <c r="K12" s="33" t="s">
        <v>1127</v>
      </c>
      <c r="L12" s="33" t="s">
        <v>1127</v>
      </c>
      <c r="M12" s="33" t="s">
        <v>1127</v>
      </c>
      <c r="N12" s="33" t="s">
        <v>1127</v>
      </c>
      <c r="O12" s="33" t="s">
        <v>1127</v>
      </c>
      <c r="P12" s="33">
        <v>1</v>
      </c>
      <c r="Q12" s="33" t="s">
        <v>1127</v>
      </c>
      <c r="R12" s="39">
        <f t="shared" si="1"/>
        <v>1</v>
      </c>
      <c r="T12"/>
    </row>
    <row r="13" spans="1:20" ht="13.5" customHeight="1">
      <c r="A13" s="82"/>
      <c r="B13" s="16" t="s">
        <v>598</v>
      </c>
      <c r="C13" s="74" t="s">
        <v>598</v>
      </c>
      <c r="D13" s="33">
        <v>1</v>
      </c>
      <c r="E13" s="33">
        <v>8</v>
      </c>
      <c r="F13" s="33">
        <v>103</v>
      </c>
      <c r="G13" s="33">
        <v>157</v>
      </c>
      <c r="H13" s="33">
        <v>145</v>
      </c>
      <c r="I13" s="33">
        <v>28115</v>
      </c>
      <c r="J13" s="33" t="s">
        <v>1127</v>
      </c>
      <c r="K13" s="33" t="s">
        <v>1127</v>
      </c>
      <c r="L13" s="33" t="s">
        <v>1127</v>
      </c>
      <c r="M13" s="33" t="s">
        <v>1127</v>
      </c>
      <c r="N13" s="33" t="s">
        <v>1127</v>
      </c>
      <c r="O13" s="33" t="s">
        <v>1127</v>
      </c>
      <c r="P13" s="33" t="s">
        <v>1127</v>
      </c>
      <c r="Q13" s="33" t="s">
        <v>1127</v>
      </c>
      <c r="R13" s="39" t="str">
        <f t="shared" si="1"/>
        <v>-</v>
      </c>
      <c r="T13"/>
    </row>
    <row r="14" spans="1:20" ht="13.5" customHeight="1">
      <c r="A14" s="82"/>
      <c r="B14" s="16" t="s">
        <v>599</v>
      </c>
      <c r="C14" s="74" t="s">
        <v>599</v>
      </c>
      <c r="D14" s="33">
        <v>1</v>
      </c>
      <c r="E14" s="33">
        <v>5</v>
      </c>
      <c r="F14" s="33">
        <v>65</v>
      </c>
      <c r="G14" s="33">
        <v>75</v>
      </c>
      <c r="H14" s="33">
        <v>72</v>
      </c>
      <c r="I14" s="33">
        <v>17659</v>
      </c>
      <c r="J14" s="33" t="s">
        <v>1127</v>
      </c>
      <c r="K14" s="33" t="s">
        <v>1127</v>
      </c>
      <c r="L14" s="33" t="s">
        <v>1127</v>
      </c>
      <c r="M14" s="33" t="s">
        <v>1127</v>
      </c>
      <c r="N14" s="33" t="s">
        <v>1127</v>
      </c>
      <c r="O14" s="33" t="s">
        <v>1127</v>
      </c>
      <c r="P14" s="33" t="s">
        <v>1127</v>
      </c>
      <c r="Q14" s="33" t="s">
        <v>1127</v>
      </c>
      <c r="R14" s="39" t="str">
        <f t="shared" si="1"/>
        <v>-</v>
      </c>
      <c r="T14"/>
    </row>
    <row r="15" spans="1:20" ht="13.5" customHeight="1">
      <c r="A15" s="82"/>
      <c r="B15" s="16" t="s">
        <v>771</v>
      </c>
      <c r="C15" s="74" t="s">
        <v>771</v>
      </c>
      <c r="D15" s="33">
        <v>1</v>
      </c>
      <c r="E15" s="33">
        <v>10</v>
      </c>
      <c r="F15" s="33">
        <v>138</v>
      </c>
      <c r="G15" s="33">
        <v>165</v>
      </c>
      <c r="H15" s="33">
        <v>156</v>
      </c>
      <c r="I15" s="33">
        <v>37878</v>
      </c>
      <c r="J15" s="33" t="s">
        <v>1127</v>
      </c>
      <c r="K15" s="33" t="s">
        <v>1127</v>
      </c>
      <c r="L15" s="33" t="s">
        <v>1127</v>
      </c>
      <c r="M15" s="33" t="s">
        <v>1127</v>
      </c>
      <c r="N15" s="33" t="s">
        <v>1127</v>
      </c>
      <c r="O15" s="33" t="s">
        <v>1127</v>
      </c>
      <c r="P15" s="33" t="s">
        <v>1127</v>
      </c>
      <c r="Q15" s="33" t="s">
        <v>1127</v>
      </c>
      <c r="R15" s="39" t="str">
        <f t="shared" si="1"/>
        <v>-</v>
      </c>
      <c r="T15"/>
    </row>
    <row r="16" spans="1:20" ht="13.5" customHeight="1">
      <c r="A16" s="82"/>
      <c r="B16" s="16" t="s">
        <v>600</v>
      </c>
      <c r="C16" s="1222" t="s">
        <v>600</v>
      </c>
      <c r="D16" s="1208">
        <v>1</v>
      </c>
      <c r="E16" s="1208">
        <v>11</v>
      </c>
      <c r="F16" s="1208">
        <v>157</v>
      </c>
      <c r="G16" s="1208">
        <v>199</v>
      </c>
      <c r="H16" s="1208">
        <v>182</v>
      </c>
      <c r="I16" s="1208">
        <v>44421</v>
      </c>
      <c r="J16" s="1208" t="s">
        <v>1127</v>
      </c>
      <c r="K16" s="1208" t="s">
        <v>1127</v>
      </c>
      <c r="L16" s="1208" t="s">
        <v>1127</v>
      </c>
      <c r="M16" s="1208" t="s">
        <v>1127</v>
      </c>
      <c r="N16" s="1208" t="s">
        <v>1127</v>
      </c>
      <c r="O16" s="1208" t="s">
        <v>1127</v>
      </c>
      <c r="P16" s="1208">
        <v>3</v>
      </c>
      <c r="Q16" s="1208" t="s">
        <v>1127</v>
      </c>
      <c r="R16" s="1200">
        <f t="shared" si="1"/>
        <v>3</v>
      </c>
      <c r="T16"/>
    </row>
    <row r="17" spans="1:20" ht="13.5" customHeight="1">
      <c r="A17" s="82"/>
      <c r="B17" s="16" t="s">
        <v>601</v>
      </c>
      <c r="C17" s="1222"/>
      <c r="D17" s="1208"/>
      <c r="E17" s="1208"/>
      <c r="F17" s="1208"/>
      <c r="G17" s="1208"/>
      <c r="H17" s="1208"/>
      <c r="I17" s="1208"/>
      <c r="J17" s="1208"/>
      <c r="K17" s="1208"/>
      <c r="L17" s="1208"/>
      <c r="M17" s="1208"/>
      <c r="N17" s="1208"/>
      <c r="O17" s="1208"/>
      <c r="P17" s="1208"/>
      <c r="Q17" s="1208"/>
      <c r="R17" s="1200"/>
      <c r="T17"/>
    </row>
    <row r="18" spans="1:20" ht="13.5" customHeight="1">
      <c r="A18" s="82"/>
      <c r="B18" s="190" t="s">
        <v>602</v>
      </c>
      <c r="C18" s="74" t="s">
        <v>602</v>
      </c>
      <c r="D18" s="33">
        <v>1</v>
      </c>
      <c r="E18" s="33">
        <v>15</v>
      </c>
      <c r="F18" s="33">
        <v>185</v>
      </c>
      <c r="G18" s="33">
        <v>291</v>
      </c>
      <c r="H18" s="33">
        <v>271</v>
      </c>
      <c r="I18" s="33">
        <v>53006</v>
      </c>
      <c r="J18" s="33" t="s">
        <v>1127</v>
      </c>
      <c r="K18" s="33" t="s">
        <v>1127</v>
      </c>
      <c r="L18" s="33" t="s">
        <v>1127</v>
      </c>
      <c r="M18" s="33" t="s">
        <v>1127</v>
      </c>
      <c r="N18" s="33" t="s">
        <v>1127</v>
      </c>
      <c r="O18" s="33" t="s">
        <v>1127</v>
      </c>
      <c r="P18" s="33" t="s">
        <v>1127</v>
      </c>
      <c r="Q18" s="33" t="s">
        <v>1127</v>
      </c>
      <c r="R18" s="39" t="str">
        <f t="shared" si="1"/>
        <v>-</v>
      </c>
    </row>
    <row r="19" spans="1:20" ht="13.5" customHeight="1">
      <c r="A19" s="82" t="s">
        <v>273</v>
      </c>
      <c r="B19" s="11">
        <v>9</v>
      </c>
      <c r="C19" s="154" t="s">
        <v>1638</v>
      </c>
      <c r="D19" s="34">
        <f t="shared" ref="D19:I19" si="2">SUM(D20:D28)</f>
        <v>8</v>
      </c>
      <c r="E19" s="34">
        <f t="shared" si="2"/>
        <v>59</v>
      </c>
      <c r="F19" s="34">
        <f t="shared" si="2"/>
        <v>772</v>
      </c>
      <c r="G19" s="34">
        <f t="shared" si="2"/>
        <v>1404</v>
      </c>
      <c r="H19" s="34">
        <f t="shared" si="2"/>
        <v>1311</v>
      </c>
      <c r="I19" s="34">
        <f t="shared" si="2"/>
        <v>220407</v>
      </c>
      <c r="J19" s="34" t="s">
        <v>1127</v>
      </c>
      <c r="K19" s="34" t="s">
        <v>1127</v>
      </c>
      <c r="L19" s="34" t="s">
        <v>1127</v>
      </c>
      <c r="M19" s="34" t="s">
        <v>1127</v>
      </c>
      <c r="N19" s="34" t="s">
        <v>1127</v>
      </c>
      <c r="O19" s="34" t="s">
        <v>1127</v>
      </c>
      <c r="P19" s="34">
        <f>SUM(P20:P28)</f>
        <v>4</v>
      </c>
      <c r="Q19" s="34" t="s">
        <v>1127</v>
      </c>
      <c r="R19" s="28">
        <f t="shared" si="1"/>
        <v>4</v>
      </c>
    </row>
    <row r="20" spans="1:20" ht="13.5" customHeight="1">
      <c r="A20" s="74"/>
      <c r="B20" s="190" t="s">
        <v>605</v>
      </c>
      <c r="C20" s="74" t="s">
        <v>605</v>
      </c>
      <c r="D20" s="33">
        <v>1</v>
      </c>
      <c r="E20" s="33">
        <v>7</v>
      </c>
      <c r="F20" s="33">
        <v>112</v>
      </c>
      <c r="G20" s="33">
        <v>222</v>
      </c>
      <c r="H20" s="33">
        <v>198</v>
      </c>
      <c r="I20" s="33">
        <v>31668</v>
      </c>
      <c r="J20" s="33" t="s">
        <v>1127</v>
      </c>
      <c r="K20" s="33" t="s">
        <v>1127</v>
      </c>
      <c r="L20" s="33" t="s">
        <v>1127</v>
      </c>
      <c r="M20" s="33" t="s">
        <v>1127</v>
      </c>
      <c r="N20" s="33" t="s">
        <v>1127</v>
      </c>
      <c r="O20" s="33" t="s">
        <v>1127</v>
      </c>
      <c r="P20" s="33" t="s">
        <v>1127</v>
      </c>
      <c r="Q20" s="33" t="s">
        <v>1127</v>
      </c>
      <c r="R20" s="39" t="str">
        <f t="shared" si="1"/>
        <v>-</v>
      </c>
    </row>
    <row r="21" spans="1:20" ht="13.5" customHeight="1">
      <c r="A21" s="74"/>
      <c r="B21" s="74" t="s">
        <v>328</v>
      </c>
      <c r="C21" s="74" t="s">
        <v>604</v>
      </c>
      <c r="D21" s="33">
        <v>1</v>
      </c>
      <c r="E21" s="33">
        <v>7</v>
      </c>
      <c r="F21" s="33">
        <v>86</v>
      </c>
      <c r="G21" s="33">
        <v>155</v>
      </c>
      <c r="H21" s="33">
        <v>146</v>
      </c>
      <c r="I21" s="33">
        <v>25228</v>
      </c>
      <c r="J21" s="33" t="s">
        <v>1127</v>
      </c>
      <c r="K21" s="33" t="s">
        <v>1127</v>
      </c>
      <c r="L21" s="33" t="s">
        <v>1127</v>
      </c>
      <c r="M21" s="33" t="s">
        <v>1127</v>
      </c>
      <c r="N21" s="33" t="s">
        <v>1127</v>
      </c>
      <c r="O21" s="33" t="s">
        <v>1127</v>
      </c>
      <c r="P21" s="33">
        <v>2</v>
      </c>
      <c r="Q21" s="33" t="s">
        <v>1127</v>
      </c>
      <c r="R21" s="39">
        <f t="shared" si="1"/>
        <v>2</v>
      </c>
    </row>
    <row r="22" spans="1:20" ht="13.5" customHeight="1">
      <c r="A22" s="74"/>
      <c r="B22" s="74" t="s">
        <v>515</v>
      </c>
      <c r="C22" s="74" t="s">
        <v>368</v>
      </c>
      <c r="D22" s="33">
        <v>1</v>
      </c>
      <c r="E22" s="33">
        <v>5</v>
      </c>
      <c r="F22" s="33">
        <v>59</v>
      </c>
      <c r="G22" s="33">
        <v>121</v>
      </c>
      <c r="H22" s="33">
        <v>116</v>
      </c>
      <c r="I22" s="33">
        <v>17249</v>
      </c>
      <c r="J22" s="33" t="s">
        <v>1127</v>
      </c>
      <c r="K22" s="33" t="s">
        <v>1127</v>
      </c>
      <c r="L22" s="33" t="s">
        <v>1127</v>
      </c>
      <c r="M22" s="33" t="s">
        <v>1127</v>
      </c>
      <c r="N22" s="33" t="s">
        <v>1127</v>
      </c>
      <c r="O22" s="33" t="s">
        <v>1127</v>
      </c>
      <c r="P22" s="33" t="s">
        <v>1127</v>
      </c>
      <c r="Q22" s="33" t="s">
        <v>1127</v>
      </c>
      <c r="R22" s="39" t="str">
        <f t="shared" si="1"/>
        <v>-</v>
      </c>
    </row>
    <row r="23" spans="1:20" ht="13.5" customHeight="1">
      <c r="A23" s="74"/>
      <c r="B23" s="190" t="s">
        <v>606</v>
      </c>
      <c r="C23" s="1222" t="s">
        <v>606</v>
      </c>
      <c r="D23" s="1208">
        <v>1</v>
      </c>
      <c r="E23" s="1208">
        <v>8</v>
      </c>
      <c r="F23" s="1208">
        <v>90</v>
      </c>
      <c r="G23" s="1208">
        <v>186</v>
      </c>
      <c r="H23" s="1208">
        <v>169</v>
      </c>
      <c r="I23" s="1208">
        <v>25953</v>
      </c>
      <c r="J23" s="1208" t="s">
        <v>1127</v>
      </c>
      <c r="K23" s="1208" t="s">
        <v>1127</v>
      </c>
      <c r="L23" s="1208" t="s">
        <v>1127</v>
      </c>
      <c r="M23" s="1208" t="s">
        <v>1127</v>
      </c>
      <c r="N23" s="1208" t="s">
        <v>1127</v>
      </c>
      <c r="O23" s="1208" t="s">
        <v>1127</v>
      </c>
      <c r="P23" s="1208" t="s">
        <v>1127</v>
      </c>
      <c r="Q23" s="1208" t="s">
        <v>1127</v>
      </c>
      <c r="R23" s="1200" t="str">
        <f t="shared" si="1"/>
        <v>-</v>
      </c>
    </row>
    <row r="24" spans="1:20" ht="13.5" customHeight="1">
      <c r="A24" s="74"/>
      <c r="B24" s="190" t="s">
        <v>607</v>
      </c>
      <c r="C24" s="1222"/>
      <c r="D24" s="1208"/>
      <c r="E24" s="1208"/>
      <c r="F24" s="1208"/>
      <c r="G24" s="1208"/>
      <c r="H24" s="1208"/>
      <c r="I24" s="1208"/>
      <c r="J24" s="1208"/>
      <c r="K24" s="1208"/>
      <c r="L24" s="1208"/>
      <c r="M24" s="1208"/>
      <c r="N24" s="1208"/>
      <c r="O24" s="1208"/>
      <c r="P24" s="1208"/>
      <c r="Q24" s="1208"/>
      <c r="R24" s="1200"/>
    </row>
    <row r="25" spans="1:20" ht="13.5" customHeight="1">
      <c r="A25" s="74"/>
      <c r="B25" s="190" t="s">
        <v>347</v>
      </c>
      <c r="C25" s="74" t="s">
        <v>347</v>
      </c>
      <c r="D25" s="33">
        <v>1</v>
      </c>
      <c r="E25" s="33">
        <v>9</v>
      </c>
      <c r="F25" s="33">
        <v>109</v>
      </c>
      <c r="G25" s="33">
        <v>145</v>
      </c>
      <c r="H25" s="33">
        <v>141</v>
      </c>
      <c r="I25" s="33">
        <v>31312</v>
      </c>
      <c r="J25" s="33" t="s">
        <v>1127</v>
      </c>
      <c r="K25" s="33" t="s">
        <v>1127</v>
      </c>
      <c r="L25" s="33" t="s">
        <v>1127</v>
      </c>
      <c r="M25" s="33" t="s">
        <v>1127</v>
      </c>
      <c r="N25" s="33" t="s">
        <v>1127</v>
      </c>
      <c r="O25" s="33" t="s">
        <v>1127</v>
      </c>
      <c r="P25" s="33" t="s">
        <v>1127</v>
      </c>
      <c r="Q25" s="33" t="s">
        <v>1127</v>
      </c>
      <c r="R25" s="39" t="str">
        <f t="shared" si="1"/>
        <v>-</v>
      </c>
    </row>
    <row r="26" spans="1:20" ht="13.5" customHeight="1">
      <c r="A26" s="74"/>
      <c r="B26" s="190" t="s">
        <v>348</v>
      </c>
      <c r="C26" s="74" t="s">
        <v>348</v>
      </c>
      <c r="D26" s="33">
        <v>1</v>
      </c>
      <c r="E26" s="33">
        <v>7</v>
      </c>
      <c r="F26" s="33">
        <v>105</v>
      </c>
      <c r="G26" s="33">
        <v>203</v>
      </c>
      <c r="H26" s="33">
        <v>191</v>
      </c>
      <c r="I26" s="33">
        <v>29836</v>
      </c>
      <c r="J26" s="33" t="s">
        <v>1127</v>
      </c>
      <c r="K26" s="33" t="s">
        <v>1127</v>
      </c>
      <c r="L26" s="33" t="s">
        <v>1127</v>
      </c>
      <c r="M26" s="33" t="s">
        <v>1127</v>
      </c>
      <c r="N26" s="33" t="s">
        <v>1127</v>
      </c>
      <c r="O26" s="33" t="s">
        <v>1127</v>
      </c>
      <c r="P26" s="33">
        <v>1</v>
      </c>
      <c r="Q26" s="33" t="s">
        <v>1127</v>
      </c>
      <c r="R26" s="39">
        <f t="shared" si="1"/>
        <v>1</v>
      </c>
    </row>
    <row r="27" spans="1:20" ht="13.5" customHeight="1">
      <c r="A27" s="74"/>
      <c r="B27" s="190" t="s">
        <v>349</v>
      </c>
      <c r="C27" s="74" t="s">
        <v>349</v>
      </c>
      <c r="D27" s="33">
        <v>1</v>
      </c>
      <c r="E27" s="33">
        <v>10</v>
      </c>
      <c r="F27" s="33">
        <v>131</v>
      </c>
      <c r="G27" s="33">
        <v>206</v>
      </c>
      <c r="H27" s="33">
        <v>197</v>
      </c>
      <c r="I27" s="33">
        <v>37141</v>
      </c>
      <c r="J27" s="33" t="s">
        <v>1127</v>
      </c>
      <c r="K27" s="33" t="s">
        <v>1127</v>
      </c>
      <c r="L27" s="33" t="s">
        <v>1127</v>
      </c>
      <c r="M27" s="33" t="s">
        <v>1127</v>
      </c>
      <c r="N27" s="33" t="s">
        <v>1127</v>
      </c>
      <c r="O27" s="33" t="s">
        <v>1127</v>
      </c>
      <c r="P27" s="33">
        <v>1</v>
      </c>
      <c r="Q27" s="33" t="s">
        <v>1127</v>
      </c>
      <c r="R27" s="39">
        <f t="shared" si="1"/>
        <v>1</v>
      </c>
    </row>
    <row r="28" spans="1:20" ht="13.5" customHeight="1">
      <c r="A28" s="74"/>
      <c r="B28" s="190" t="s">
        <v>370</v>
      </c>
      <c r="C28" s="74" t="s">
        <v>370</v>
      </c>
      <c r="D28" s="33">
        <v>1</v>
      </c>
      <c r="E28" s="33">
        <v>6</v>
      </c>
      <c r="F28" s="33">
        <v>80</v>
      </c>
      <c r="G28" s="33">
        <v>166</v>
      </c>
      <c r="H28" s="33">
        <v>153</v>
      </c>
      <c r="I28" s="33">
        <v>22020</v>
      </c>
      <c r="J28" s="33" t="s">
        <v>1127</v>
      </c>
      <c r="K28" s="33" t="s">
        <v>1127</v>
      </c>
      <c r="L28" s="33" t="s">
        <v>1127</v>
      </c>
      <c r="M28" s="33" t="s">
        <v>1127</v>
      </c>
      <c r="N28" s="33" t="s">
        <v>1127</v>
      </c>
      <c r="O28" s="33" t="s">
        <v>1127</v>
      </c>
      <c r="P28" s="33" t="s">
        <v>1127</v>
      </c>
      <c r="Q28" s="33" t="s">
        <v>1127</v>
      </c>
      <c r="R28" s="39" t="str">
        <f t="shared" si="1"/>
        <v>-</v>
      </c>
    </row>
    <row r="29" spans="1:20" ht="13.5" customHeight="1">
      <c r="A29" s="82" t="s">
        <v>372</v>
      </c>
      <c r="B29" s="11">
        <v>6</v>
      </c>
      <c r="C29" s="154" t="s">
        <v>1637</v>
      </c>
      <c r="D29" s="34">
        <f t="shared" ref="D29:I29" si="3">SUM(D30:D37)</f>
        <v>6</v>
      </c>
      <c r="E29" s="34">
        <f t="shared" si="3"/>
        <v>56</v>
      </c>
      <c r="F29" s="34">
        <f t="shared" si="3"/>
        <v>753</v>
      </c>
      <c r="G29" s="34">
        <f t="shared" si="3"/>
        <v>947</v>
      </c>
      <c r="H29" s="34">
        <f t="shared" si="3"/>
        <v>890</v>
      </c>
      <c r="I29" s="34">
        <f t="shared" si="3"/>
        <v>244181</v>
      </c>
      <c r="J29" s="34" t="s">
        <v>1127</v>
      </c>
      <c r="K29" s="34" t="s">
        <v>1127</v>
      </c>
      <c r="L29" s="34">
        <f>SUM(L30:L37)</f>
        <v>2</v>
      </c>
      <c r="M29" s="34">
        <f>SUM(M30:M37)</f>
        <v>34</v>
      </c>
      <c r="N29" s="34" t="s">
        <v>1127</v>
      </c>
      <c r="O29" s="34" t="s">
        <v>1127</v>
      </c>
      <c r="P29" s="34">
        <f>SUM(P30:P37)</f>
        <v>1</v>
      </c>
      <c r="Q29" s="34" t="s">
        <v>1127</v>
      </c>
      <c r="R29" s="28">
        <f t="shared" si="1"/>
        <v>3</v>
      </c>
    </row>
    <row r="30" spans="1:20" ht="13.5" customHeight="1">
      <c r="A30" s="74"/>
      <c r="B30" s="1208" t="s">
        <v>350</v>
      </c>
      <c r="C30" s="74" t="s">
        <v>350</v>
      </c>
      <c r="D30" s="33">
        <v>1</v>
      </c>
      <c r="E30" s="33">
        <v>9</v>
      </c>
      <c r="F30" s="33">
        <v>113</v>
      </c>
      <c r="G30" s="33">
        <v>161</v>
      </c>
      <c r="H30" s="33">
        <v>147</v>
      </c>
      <c r="I30" s="33">
        <v>33793</v>
      </c>
      <c r="J30" s="33" t="s">
        <v>1127</v>
      </c>
      <c r="K30" s="33" t="s">
        <v>1127</v>
      </c>
      <c r="L30" s="33" t="s">
        <v>1127</v>
      </c>
      <c r="M30" s="33" t="s">
        <v>1127</v>
      </c>
      <c r="N30" s="33" t="s">
        <v>1127</v>
      </c>
      <c r="O30" s="33" t="s">
        <v>1127</v>
      </c>
      <c r="P30" s="33" t="s">
        <v>1127</v>
      </c>
      <c r="Q30" s="33" t="s">
        <v>1127</v>
      </c>
      <c r="R30" s="39" t="str">
        <f t="shared" si="1"/>
        <v>-</v>
      </c>
    </row>
    <row r="31" spans="1:20" ht="13.5" customHeight="1">
      <c r="A31" s="74"/>
      <c r="B31" s="1208"/>
      <c r="C31" s="74" t="s">
        <v>356</v>
      </c>
      <c r="D31" s="33" t="s">
        <v>1127</v>
      </c>
      <c r="E31" s="33" t="s">
        <v>1127</v>
      </c>
      <c r="F31" s="33" t="s">
        <v>1127</v>
      </c>
      <c r="G31" s="33" t="s">
        <v>1127</v>
      </c>
      <c r="H31" s="33" t="s">
        <v>1127</v>
      </c>
      <c r="I31" s="33">
        <v>15074</v>
      </c>
      <c r="J31" s="33" t="s">
        <v>1127</v>
      </c>
      <c r="K31" s="33" t="s">
        <v>1127</v>
      </c>
      <c r="L31" s="33">
        <v>1</v>
      </c>
      <c r="M31" s="33">
        <v>19</v>
      </c>
      <c r="N31" s="33" t="s">
        <v>1127</v>
      </c>
      <c r="O31" s="33" t="s">
        <v>1127</v>
      </c>
      <c r="P31" s="33" t="s">
        <v>1127</v>
      </c>
      <c r="Q31" s="33" t="s">
        <v>1127</v>
      </c>
      <c r="R31" s="39">
        <f t="shared" si="1"/>
        <v>1</v>
      </c>
    </row>
    <row r="32" spans="1:20" ht="13.5" customHeight="1">
      <c r="A32" s="74"/>
      <c r="B32" s="1070" t="s">
        <v>351</v>
      </c>
      <c r="C32" s="74" t="s">
        <v>351</v>
      </c>
      <c r="D32" s="33">
        <v>1</v>
      </c>
      <c r="E32" s="33">
        <v>9</v>
      </c>
      <c r="F32" s="33">
        <v>116</v>
      </c>
      <c r="G32" s="33">
        <v>139</v>
      </c>
      <c r="H32" s="33">
        <v>137</v>
      </c>
      <c r="I32" s="33">
        <v>34491</v>
      </c>
      <c r="J32" s="33" t="s">
        <v>1127</v>
      </c>
      <c r="K32" s="33" t="s">
        <v>1127</v>
      </c>
      <c r="L32" s="33" t="s">
        <v>1127</v>
      </c>
      <c r="M32" s="33" t="s">
        <v>1127</v>
      </c>
      <c r="N32" s="33" t="s">
        <v>1127</v>
      </c>
      <c r="O32" s="33" t="s">
        <v>1127</v>
      </c>
      <c r="P32" s="33" t="s">
        <v>1127</v>
      </c>
      <c r="Q32" s="33" t="s">
        <v>1127</v>
      </c>
      <c r="R32" s="39" t="str">
        <f t="shared" si="1"/>
        <v>-</v>
      </c>
    </row>
    <row r="33" spans="1:18" ht="13.5" customHeight="1">
      <c r="A33" s="74"/>
      <c r="B33" s="1070" t="s">
        <v>352</v>
      </c>
      <c r="C33" s="74" t="s">
        <v>352</v>
      </c>
      <c r="D33" s="33">
        <v>1</v>
      </c>
      <c r="E33" s="33">
        <v>8</v>
      </c>
      <c r="F33" s="33">
        <v>141</v>
      </c>
      <c r="G33" s="33">
        <v>170</v>
      </c>
      <c r="H33" s="33">
        <v>165</v>
      </c>
      <c r="I33" s="33">
        <v>41119</v>
      </c>
      <c r="J33" s="33" t="s">
        <v>1127</v>
      </c>
      <c r="K33" s="33" t="s">
        <v>1127</v>
      </c>
      <c r="L33" s="33" t="s">
        <v>1127</v>
      </c>
      <c r="M33" s="33" t="s">
        <v>1127</v>
      </c>
      <c r="N33" s="33" t="s">
        <v>1127</v>
      </c>
      <c r="O33" s="33" t="s">
        <v>1127</v>
      </c>
      <c r="P33" s="33">
        <v>1</v>
      </c>
      <c r="Q33" s="33" t="s">
        <v>1127</v>
      </c>
      <c r="R33" s="39">
        <f t="shared" si="1"/>
        <v>1</v>
      </c>
    </row>
    <row r="34" spans="1:18" ht="13.5" customHeight="1">
      <c r="A34" s="74"/>
      <c r="B34" s="1208" t="s">
        <v>353</v>
      </c>
      <c r="C34" s="74" t="s">
        <v>353</v>
      </c>
      <c r="D34" s="33">
        <v>1</v>
      </c>
      <c r="E34" s="33">
        <v>10</v>
      </c>
      <c r="F34" s="33">
        <v>120</v>
      </c>
      <c r="G34" s="33">
        <v>186</v>
      </c>
      <c r="H34" s="33">
        <v>161</v>
      </c>
      <c r="I34" s="33">
        <v>35022</v>
      </c>
      <c r="J34" s="33" t="s">
        <v>1127</v>
      </c>
      <c r="K34" s="33" t="s">
        <v>1127</v>
      </c>
      <c r="L34" s="33" t="s">
        <v>1127</v>
      </c>
      <c r="M34" s="33" t="s">
        <v>1127</v>
      </c>
      <c r="N34" s="33" t="s">
        <v>1127</v>
      </c>
      <c r="O34" s="33" t="s">
        <v>1127</v>
      </c>
      <c r="P34" s="33" t="s">
        <v>1127</v>
      </c>
      <c r="Q34" s="33" t="s">
        <v>1127</v>
      </c>
      <c r="R34" s="39" t="str">
        <f t="shared" si="1"/>
        <v>-</v>
      </c>
    </row>
    <row r="35" spans="1:18" ht="13.5" customHeight="1">
      <c r="A35" s="74"/>
      <c r="B35" s="1208"/>
      <c r="C35" s="74" t="s">
        <v>362</v>
      </c>
      <c r="D35" s="33" t="s">
        <v>1127</v>
      </c>
      <c r="E35" s="33" t="s">
        <v>1127</v>
      </c>
      <c r="F35" s="33" t="s">
        <v>1127</v>
      </c>
      <c r="G35" s="33" t="s">
        <v>1127</v>
      </c>
      <c r="H35" s="33" t="s">
        <v>1127</v>
      </c>
      <c r="I35" s="33">
        <v>6379</v>
      </c>
      <c r="J35" s="33" t="s">
        <v>1127</v>
      </c>
      <c r="K35" s="33" t="s">
        <v>1127</v>
      </c>
      <c r="L35" s="33">
        <v>1</v>
      </c>
      <c r="M35" s="33">
        <v>15</v>
      </c>
      <c r="N35" s="33" t="s">
        <v>1127</v>
      </c>
      <c r="O35" s="33" t="s">
        <v>1127</v>
      </c>
      <c r="P35" s="33" t="s">
        <v>1127</v>
      </c>
      <c r="Q35" s="33" t="s">
        <v>1127</v>
      </c>
      <c r="R35" s="39">
        <f t="shared" si="1"/>
        <v>1</v>
      </c>
    </row>
    <row r="36" spans="1:18" ht="13.5" customHeight="1">
      <c r="A36" s="74"/>
      <c r="B36" s="1070" t="s">
        <v>354</v>
      </c>
      <c r="C36" s="74" t="s">
        <v>354</v>
      </c>
      <c r="D36" s="33">
        <v>1</v>
      </c>
      <c r="E36" s="33">
        <v>10</v>
      </c>
      <c r="F36" s="33">
        <v>134</v>
      </c>
      <c r="G36" s="33">
        <v>160</v>
      </c>
      <c r="H36" s="33">
        <v>151</v>
      </c>
      <c r="I36" s="33">
        <v>40653</v>
      </c>
      <c r="J36" s="33" t="s">
        <v>1127</v>
      </c>
      <c r="K36" s="33" t="s">
        <v>1127</v>
      </c>
      <c r="L36" s="33" t="s">
        <v>1127</v>
      </c>
      <c r="M36" s="33" t="s">
        <v>1127</v>
      </c>
      <c r="N36" s="33" t="s">
        <v>1127</v>
      </c>
      <c r="O36" s="33" t="s">
        <v>1127</v>
      </c>
      <c r="P36" s="33" t="s">
        <v>1127</v>
      </c>
      <c r="Q36" s="33" t="s">
        <v>1127</v>
      </c>
      <c r="R36" s="39" t="str">
        <f t="shared" si="1"/>
        <v>-</v>
      </c>
    </row>
    <row r="37" spans="1:18" ht="13.5" customHeight="1">
      <c r="A37" s="74"/>
      <c r="B37" s="1070" t="s">
        <v>355</v>
      </c>
      <c r="C37" s="74" t="s">
        <v>355</v>
      </c>
      <c r="D37" s="33">
        <v>1</v>
      </c>
      <c r="E37" s="33">
        <v>10</v>
      </c>
      <c r="F37" s="33">
        <v>129</v>
      </c>
      <c r="G37" s="33">
        <v>131</v>
      </c>
      <c r="H37" s="33">
        <v>129</v>
      </c>
      <c r="I37" s="33">
        <v>37650</v>
      </c>
      <c r="J37" s="33" t="s">
        <v>1127</v>
      </c>
      <c r="K37" s="33" t="s">
        <v>1127</v>
      </c>
      <c r="L37" s="33" t="s">
        <v>1127</v>
      </c>
      <c r="M37" s="33" t="s">
        <v>1127</v>
      </c>
      <c r="N37" s="33" t="s">
        <v>1127</v>
      </c>
      <c r="O37" s="33" t="s">
        <v>1127</v>
      </c>
      <c r="P37" s="33" t="s">
        <v>1127</v>
      </c>
      <c r="Q37" s="33" t="s">
        <v>1127</v>
      </c>
      <c r="R37" s="39" t="str">
        <f t="shared" si="1"/>
        <v>-</v>
      </c>
    </row>
    <row r="38" spans="1:18" ht="13.5" customHeight="1">
      <c r="A38" s="256" t="s">
        <v>856</v>
      </c>
      <c r="B38" s="208">
        <f t="shared" ref="B38:I38" si="4">SUM(B8,B19,B29)</f>
        <v>24</v>
      </c>
      <c r="C38" s="257" t="s">
        <v>1128</v>
      </c>
      <c r="D38" s="179">
        <f t="shared" si="4"/>
        <v>22</v>
      </c>
      <c r="E38" s="179">
        <f t="shared" si="4"/>
        <v>190</v>
      </c>
      <c r="F38" s="179">
        <f t="shared" si="4"/>
        <v>2504</v>
      </c>
      <c r="G38" s="179">
        <f t="shared" si="4"/>
        <v>3830</v>
      </c>
      <c r="H38" s="179">
        <f t="shared" si="4"/>
        <v>3585</v>
      </c>
      <c r="I38" s="179">
        <f t="shared" si="4"/>
        <v>766902</v>
      </c>
      <c r="J38" s="179" t="s">
        <v>1127</v>
      </c>
      <c r="K38" s="179" t="s">
        <v>1127</v>
      </c>
      <c r="L38" s="179">
        <f>SUM(L8,L19,L29)</f>
        <v>3</v>
      </c>
      <c r="M38" s="179">
        <f>SUM(M8,M19,M29)</f>
        <v>57</v>
      </c>
      <c r="N38" s="179" t="s">
        <v>1127</v>
      </c>
      <c r="O38" s="179" t="s">
        <v>1127</v>
      </c>
      <c r="P38" s="179">
        <f>SUM(P8,P19,P29)</f>
        <v>9</v>
      </c>
      <c r="Q38" s="179" t="s">
        <v>1127</v>
      </c>
      <c r="R38" s="180">
        <f>SUM(R8,R19,R29)</f>
        <v>12</v>
      </c>
    </row>
    <row r="39" spans="1:18" ht="12" customHeight="1">
      <c r="A39" s="46"/>
      <c r="B39" s="46"/>
      <c r="C39" s="46"/>
      <c r="D39" s="46"/>
      <c r="E39" s="46"/>
      <c r="F39" s="46"/>
      <c r="G39" s="46"/>
      <c r="H39" s="46"/>
      <c r="I39" s="46"/>
      <c r="J39" s="46"/>
      <c r="K39" s="46"/>
      <c r="M39" s="718" t="s">
        <v>1028</v>
      </c>
      <c r="N39" s="719" t="s">
        <v>772</v>
      </c>
      <c r="O39" s="55"/>
      <c r="P39" s="55"/>
      <c r="Q39" s="55"/>
      <c r="R39" s="84"/>
    </row>
    <row r="40" spans="1:18" ht="12" customHeight="1">
      <c r="A40" s="46"/>
      <c r="B40" s="46"/>
      <c r="C40" s="46"/>
      <c r="D40" s="46"/>
      <c r="E40" s="46"/>
      <c r="F40" s="46"/>
      <c r="G40" s="46"/>
      <c r="H40" s="46"/>
      <c r="I40" s="46"/>
      <c r="J40" s="46"/>
      <c r="K40" s="46"/>
      <c r="L40" s="55"/>
      <c r="M40" s="651"/>
      <c r="N40" s="516" t="s">
        <v>8</v>
      </c>
      <c r="O40" s="55"/>
      <c r="P40" s="55"/>
      <c r="Q40" s="55"/>
      <c r="R40" s="55"/>
    </row>
    <row r="41" spans="1:18" ht="12" customHeight="1">
      <c r="A41" s="46"/>
      <c r="B41" s="46"/>
      <c r="C41" s="46"/>
      <c r="D41" s="46"/>
      <c r="E41" s="46"/>
      <c r="F41" s="46"/>
      <c r="G41" s="46"/>
      <c r="H41" s="46"/>
      <c r="I41" s="46"/>
      <c r="J41" s="46"/>
      <c r="K41" s="46"/>
      <c r="L41" s="55"/>
      <c r="M41" s="651"/>
      <c r="N41" s="516" t="s">
        <v>773</v>
      </c>
      <c r="O41" s="55"/>
      <c r="P41" s="55"/>
      <c r="Q41" s="55"/>
      <c r="R41" s="55"/>
    </row>
    <row r="42" spans="1:18">
      <c r="A42" s="46"/>
      <c r="B42" s="46"/>
      <c r="C42" s="46"/>
      <c r="D42" s="46"/>
      <c r="E42" s="46"/>
      <c r="F42" s="46"/>
      <c r="G42" s="46"/>
      <c r="H42" s="46"/>
      <c r="I42" s="46"/>
      <c r="J42" s="46"/>
      <c r="K42" s="46"/>
      <c r="L42" s="46"/>
      <c r="M42" s="46"/>
      <c r="N42" s="46"/>
      <c r="O42" s="46"/>
      <c r="P42" s="46"/>
      <c r="Q42" s="46"/>
      <c r="R42" s="46"/>
    </row>
    <row r="43" spans="1:18">
      <c r="A43" s="46"/>
      <c r="B43" s="46"/>
      <c r="C43" s="46"/>
      <c r="D43" s="46"/>
      <c r="E43" s="46"/>
      <c r="F43" s="46"/>
      <c r="G43" s="46"/>
      <c r="H43" s="46"/>
      <c r="I43" s="46"/>
      <c r="J43" s="46"/>
      <c r="K43" s="46"/>
      <c r="L43" s="46"/>
      <c r="M43" s="46"/>
      <c r="N43" s="46"/>
      <c r="O43" s="46"/>
      <c r="P43" s="46"/>
      <c r="Q43" s="46"/>
      <c r="R43" s="46"/>
    </row>
    <row r="55" ht="10.5" customHeight="1"/>
  </sheetData>
  <mergeCells count="54">
    <mergeCell ref="B30:B31"/>
    <mergeCell ref="B34:B35"/>
    <mergeCell ref="A1:R1"/>
    <mergeCell ref="O23:O24"/>
    <mergeCell ref="P23:P24"/>
    <mergeCell ref="Q23:Q24"/>
    <mergeCell ref="R23:R24"/>
    <mergeCell ref="I16:I17"/>
    <mergeCell ref="H23:H24"/>
    <mergeCell ref="I23:I24"/>
    <mergeCell ref="D16:D17"/>
    <mergeCell ref="E16:E17"/>
    <mergeCell ref="D23:D24"/>
    <mergeCell ref="E23:E24"/>
    <mergeCell ref="F23:F24"/>
    <mergeCell ref="G23:G24"/>
    <mergeCell ref="R16:R17"/>
    <mergeCell ref="Q16:Q17"/>
    <mergeCell ref="O16:O17"/>
    <mergeCell ref="M16:M17"/>
    <mergeCell ref="N16:N17"/>
    <mergeCell ref="P16:P17"/>
    <mergeCell ref="N5:O5"/>
    <mergeCell ref="B9:B11"/>
    <mergeCell ref="C16:C17"/>
    <mergeCell ref="C23:C24"/>
    <mergeCell ref="G16:G17"/>
    <mergeCell ref="J23:J24"/>
    <mergeCell ref="K23:K24"/>
    <mergeCell ref="L23:L24"/>
    <mergeCell ref="M23:M24"/>
    <mergeCell ref="N23:N24"/>
    <mergeCell ref="B4:B6"/>
    <mergeCell ref="F16:F17"/>
    <mergeCell ref="H16:H17"/>
    <mergeCell ref="L16:L17"/>
    <mergeCell ref="J16:J17"/>
    <mergeCell ref="K16:K17"/>
    <mergeCell ref="A4:A6"/>
    <mergeCell ref="A2:R2"/>
    <mergeCell ref="G3:J3"/>
    <mergeCell ref="R5:R6"/>
    <mergeCell ref="G4:G5"/>
    <mergeCell ref="H4:H5"/>
    <mergeCell ref="Q3:R3"/>
    <mergeCell ref="C4:C6"/>
    <mergeCell ref="D4:F4"/>
    <mergeCell ref="J4:R4"/>
    <mergeCell ref="D5:D6"/>
    <mergeCell ref="E5:E6"/>
    <mergeCell ref="F5:F6"/>
    <mergeCell ref="J5:K5"/>
    <mergeCell ref="L5:M5"/>
    <mergeCell ref="I4:I5"/>
  </mergeCells>
  <phoneticPr fontId="0" type="noConversion"/>
  <printOptions horizontalCentered="1"/>
  <pageMargins left="0.1" right="0.1" top="0.48" bottom="0.1" header="0.42" footer="0.25"/>
  <pageSetup paperSize="9" orientation="landscape" r:id="rId1"/>
  <headerFooter alignWithMargins="0"/>
  <drawing r:id="rId2"/>
</worksheet>
</file>

<file path=xl/worksheets/sheet80.xml><?xml version="1.0" encoding="utf-8"?>
<worksheet xmlns="http://schemas.openxmlformats.org/spreadsheetml/2006/main" xmlns:r="http://schemas.openxmlformats.org/officeDocument/2006/relationships">
  <sheetPr codeName="Sheet97"/>
  <dimension ref="A1:U76"/>
  <sheetViews>
    <sheetView topLeftCell="A37" workbookViewId="0">
      <selection activeCell="H57" sqref="H57"/>
    </sheetView>
  </sheetViews>
  <sheetFormatPr defaultRowHeight="12.75"/>
  <cols>
    <col min="1" max="1" width="3.5703125" style="5" customWidth="1"/>
    <col min="2" max="2" width="13.140625" style="5" customWidth="1"/>
    <col min="3" max="3" width="7.140625" style="5" customWidth="1"/>
    <col min="4" max="4" width="7.42578125" style="5" customWidth="1"/>
    <col min="5" max="5" width="5.7109375" style="5" customWidth="1"/>
    <col min="6" max="6" width="7.28515625" style="5" customWidth="1"/>
    <col min="7" max="7" width="5.5703125" style="5" customWidth="1"/>
    <col min="8" max="8" width="7.28515625" style="5" customWidth="1"/>
    <col min="9" max="9" width="5.85546875" style="5" customWidth="1"/>
    <col min="10" max="10" width="7.42578125" style="5" customWidth="1"/>
    <col min="11" max="11" width="5.85546875" style="5" customWidth="1"/>
    <col min="12" max="12" width="7.28515625" style="5" customWidth="1"/>
    <col min="13" max="13" width="5.85546875" style="5" customWidth="1"/>
    <col min="14" max="14" width="7.28515625" style="5" customWidth="1"/>
    <col min="15" max="15" width="5.85546875" style="5" customWidth="1"/>
    <col min="16" max="16" width="7.5703125" style="5" customWidth="1"/>
    <col min="17" max="17" width="5.85546875" style="5" customWidth="1"/>
    <col min="18" max="18" width="7.7109375" style="5" customWidth="1"/>
    <col min="19" max="19" width="7.42578125" style="5" customWidth="1"/>
    <col min="20" max="16384" width="9.140625" style="5"/>
  </cols>
  <sheetData>
    <row r="1" spans="1:21" ht="13.5" customHeight="1">
      <c r="A1" s="1181" t="s">
        <v>1553</v>
      </c>
      <c r="B1" s="1181"/>
      <c r="C1" s="1181"/>
      <c r="D1" s="1181"/>
      <c r="E1" s="1181"/>
      <c r="F1" s="1181"/>
      <c r="G1" s="1181"/>
      <c r="H1" s="1181"/>
      <c r="I1" s="1181"/>
      <c r="J1" s="1181"/>
      <c r="K1" s="1181"/>
      <c r="L1" s="1181"/>
      <c r="M1" s="1181"/>
      <c r="N1" s="1181"/>
      <c r="O1" s="1181"/>
      <c r="P1" s="1181"/>
      <c r="Q1" s="1181"/>
      <c r="R1" s="1181"/>
      <c r="S1" s="1181"/>
    </row>
    <row r="2" spans="1:21" ht="17.25" customHeight="1">
      <c r="A2" s="1189" t="str">
        <f>CONCATENATE("Population by Religion in the Blocks of ",District!$A$1,)</f>
        <v>Population by Religion in the Blocks of Bankura</v>
      </c>
      <c r="B2" s="1189"/>
      <c r="C2" s="1189"/>
      <c r="D2" s="1189"/>
      <c r="E2" s="1189"/>
      <c r="F2" s="1189"/>
      <c r="G2" s="1189"/>
      <c r="H2" s="1189"/>
      <c r="I2" s="1189"/>
      <c r="J2" s="1189"/>
      <c r="K2" s="1189"/>
      <c r="L2" s="1189"/>
      <c r="M2" s="1189"/>
      <c r="N2" s="1189"/>
      <c r="O2" s="1189"/>
      <c r="P2" s="1189"/>
      <c r="Q2" s="1189"/>
      <c r="R2" s="1189"/>
      <c r="S2" s="1189"/>
    </row>
    <row r="3" spans="1:21" ht="15" customHeight="1">
      <c r="A3" s="1258" t="s">
        <v>1492</v>
      </c>
      <c r="B3" s="1194" t="s">
        <v>1394</v>
      </c>
      <c r="C3" s="1573" t="s">
        <v>623</v>
      </c>
      <c r="D3" s="1193" t="s">
        <v>69</v>
      </c>
      <c r="E3" s="1191"/>
      <c r="F3" s="1193" t="s">
        <v>70</v>
      </c>
      <c r="G3" s="1192"/>
      <c r="H3" s="1191" t="s">
        <v>71</v>
      </c>
      <c r="I3" s="1191"/>
      <c r="J3" s="1193" t="s">
        <v>72</v>
      </c>
      <c r="K3" s="1192"/>
      <c r="L3" s="1191" t="s">
        <v>73</v>
      </c>
      <c r="M3" s="1191"/>
      <c r="N3" s="1193" t="s">
        <v>74</v>
      </c>
      <c r="O3" s="1192"/>
      <c r="P3" s="1191" t="s">
        <v>592</v>
      </c>
      <c r="Q3" s="1192"/>
      <c r="R3" s="1191" t="s">
        <v>439</v>
      </c>
      <c r="S3" s="1192"/>
    </row>
    <row r="4" spans="1:21" ht="79.5" customHeight="1">
      <c r="A4" s="1264"/>
      <c r="B4" s="1195"/>
      <c r="C4" s="1574"/>
      <c r="D4" s="779" t="s">
        <v>1420</v>
      </c>
      <c r="E4" s="779" t="s">
        <v>89</v>
      </c>
      <c r="F4" s="780" t="s">
        <v>1420</v>
      </c>
      <c r="G4" s="779" t="s">
        <v>89</v>
      </c>
      <c r="H4" s="778" t="s">
        <v>1420</v>
      </c>
      <c r="I4" s="779" t="s">
        <v>89</v>
      </c>
      <c r="J4" s="780" t="s">
        <v>1420</v>
      </c>
      <c r="K4" s="779" t="s">
        <v>89</v>
      </c>
      <c r="L4" s="778" t="s">
        <v>1420</v>
      </c>
      <c r="M4" s="779" t="s">
        <v>89</v>
      </c>
      <c r="N4" s="780" t="s">
        <v>1420</v>
      </c>
      <c r="O4" s="779" t="s">
        <v>89</v>
      </c>
      <c r="P4" s="778" t="s">
        <v>1420</v>
      </c>
      <c r="Q4" s="779" t="s">
        <v>89</v>
      </c>
      <c r="R4" s="778" t="s">
        <v>1421</v>
      </c>
      <c r="S4" s="779" t="s">
        <v>89</v>
      </c>
    </row>
    <row r="5" spans="1:21" ht="15" customHeight="1">
      <c r="A5" s="221" t="s">
        <v>418</v>
      </c>
      <c r="B5" s="213" t="s">
        <v>419</v>
      </c>
      <c r="C5" s="222" t="s">
        <v>420</v>
      </c>
      <c r="D5" s="297" t="s">
        <v>421</v>
      </c>
      <c r="E5" s="161" t="s">
        <v>422</v>
      </c>
      <c r="F5" s="221" t="s">
        <v>423</v>
      </c>
      <c r="G5" s="213" t="s">
        <v>424</v>
      </c>
      <c r="H5" s="222" t="s">
        <v>440</v>
      </c>
      <c r="I5" s="221" t="s">
        <v>441</v>
      </c>
      <c r="J5" s="221" t="s">
        <v>442</v>
      </c>
      <c r="K5" s="213" t="s">
        <v>443</v>
      </c>
      <c r="L5" s="222" t="s">
        <v>537</v>
      </c>
      <c r="M5" s="221" t="s">
        <v>538</v>
      </c>
      <c r="N5" s="221" t="s">
        <v>539</v>
      </c>
      <c r="O5" s="213" t="s">
        <v>540</v>
      </c>
      <c r="P5" s="222" t="s">
        <v>542</v>
      </c>
      <c r="Q5" s="213" t="s">
        <v>543</v>
      </c>
      <c r="R5" s="213" t="s">
        <v>545</v>
      </c>
      <c r="S5" s="214" t="s">
        <v>544</v>
      </c>
    </row>
    <row r="6" spans="1:21" s="46" customFormat="1" ht="15" customHeight="1">
      <c r="A6" s="1186">
        <v>1</v>
      </c>
      <c r="B6" s="1569" t="s">
        <v>596</v>
      </c>
      <c r="C6" s="120">
        <v>1981</v>
      </c>
      <c r="D6" s="121">
        <v>67901</v>
      </c>
      <c r="E6" s="122">
        <f>IF(D6="-","-",ROUND(D6/$R6*100,2))</f>
        <v>94.18</v>
      </c>
      <c r="F6" s="121">
        <v>4146</v>
      </c>
      <c r="G6" s="123">
        <f t="shared" ref="G6:G54" si="0">IF(F6="-","-",ROUND(F6/$R6*100,2))</f>
        <v>5.75</v>
      </c>
      <c r="H6" s="121">
        <v>22</v>
      </c>
      <c r="I6" s="122">
        <f t="shared" ref="I6:I54" si="1">IF(H6="-","-",ROUND(H6/$R6*100,2))</f>
        <v>0.03</v>
      </c>
      <c r="J6" s="124">
        <v>22</v>
      </c>
      <c r="K6" s="123">
        <f t="shared" ref="K6:K54" si="2">IF(J6="-","-",ROUND(J6/$R6*100,2))</f>
        <v>0.03</v>
      </c>
      <c r="L6" s="121">
        <v>8</v>
      </c>
      <c r="M6" s="122">
        <f t="shared" ref="M6:M54" si="3">IF(L6="-","-",ROUND(L6/$R6*100,2))</f>
        <v>0.01</v>
      </c>
      <c r="N6" s="124" t="s">
        <v>1127</v>
      </c>
      <c r="O6" s="123" t="str">
        <f t="shared" ref="O6:O54" si="4">IF(N6="-","-",ROUND(N6/$R6*100,2))</f>
        <v>-</v>
      </c>
      <c r="P6" s="124" t="s">
        <v>1127</v>
      </c>
      <c r="Q6" s="125" t="str">
        <f t="shared" ref="Q6:Q54" si="5">IF(P6="-","-",ROUND(P6/$R6*100,2))</f>
        <v>-</v>
      </c>
      <c r="R6" s="118">
        <f>SUM(D6,F6,H6,J6,L6,N6,P6)</f>
        <v>72099</v>
      </c>
      <c r="S6" s="557">
        <f t="shared" ref="S6:S54" si="6">SUM(E6,G6,I6,K6,M6,O6,Q6)</f>
        <v>100.00000000000001</v>
      </c>
      <c r="U6" s="47"/>
    </row>
    <row r="7" spans="1:21" s="46" customFormat="1" ht="15" customHeight="1">
      <c r="A7" s="1242"/>
      <c r="B7" s="1568"/>
      <c r="C7" s="126">
        <v>1991</v>
      </c>
      <c r="D7" s="127">
        <v>178719</v>
      </c>
      <c r="E7" s="128">
        <f t="shared" ref="E7:E54" si="7">IF(D7="-","-",ROUND(D7/$R7*100,2))</f>
        <v>93.29</v>
      </c>
      <c r="F7" s="127">
        <v>11746</v>
      </c>
      <c r="G7" s="129">
        <f t="shared" si="0"/>
        <v>6.13</v>
      </c>
      <c r="H7" s="127">
        <v>67</v>
      </c>
      <c r="I7" s="128">
        <f t="shared" si="1"/>
        <v>0.03</v>
      </c>
      <c r="J7" s="127">
        <v>20</v>
      </c>
      <c r="K7" s="129">
        <f t="shared" si="2"/>
        <v>0.01</v>
      </c>
      <c r="L7" s="130" t="s">
        <v>1127</v>
      </c>
      <c r="M7" s="128" t="str">
        <f t="shared" si="3"/>
        <v>-</v>
      </c>
      <c r="N7" s="130" t="s">
        <v>1127</v>
      </c>
      <c r="O7" s="129" t="str">
        <f t="shared" si="4"/>
        <v>-</v>
      </c>
      <c r="P7" s="127">
        <v>1026</v>
      </c>
      <c r="Q7" s="131">
        <f t="shared" si="5"/>
        <v>0.54</v>
      </c>
      <c r="R7" s="144">
        <f t="shared" ref="R7:R54" si="8">SUM(D7,F7,H7,J7,L7,N7,P7)</f>
        <v>191578</v>
      </c>
      <c r="S7" s="558">
        <f t="shared" si="6"/>
        <v>100.00000000000001</v>
      </c>
      <c r="U7" s="47"/>
    </row>
    <row r="8" spans="1:21" s="46" customFormat="1" ht="15" customHeight="1">
      <c r="A8" s="1186">
        <v>2</v>
      </c>
      <c r="B8" s="1569" t="s">
        <v>595</v>
      </c>
      <c r="C8" s="120">
        <v>1981</v>
      </c>
      <c r="D8" s="121">
        <v>85719</v>
      </c>
      <c r="E8" s="122">
        <f t="shared" si="7"/>
        <v>94.24</v>
      </c>
      <c r="F8" s="132">
        <v>5175</v>
      </c>
      <c r="G8" s="123">
        <f t="shared" si="0"/>
        <v>5.69</v>
      </c>
      <c r="H8" s="132">
        <v>27</v>
      </c>
      <c r="I8" s="122">
        <f t="shared" si="1"/>
        <v>0.03</v>
      </c>
      <c r="J8" s="132">
        <v>28</v>
      </c>
      <c r="K8" s="123">
        <f t="shared" si="2"/>
        <v>0.03</v>
      </c>
      <c r="L8" s="132">
        <v>12</v>
      </c>
      <c r="M8" s="122">
        <f t="shared" si="3"/>
        <v>0.01</v>
      </c>
      <c r="N8" s="133" t="s">
        <v>1127</v>
      </c>
      <c r="O8" s="123" t="str">
        <f t="shared" si="4"/>
        <v>-</v>
      </c>
      <c r="P8" s="133" t="s">
        <v>1127</v>
      </c>
      <c r="Q8" s="134" t="str">
        <f t="shared" si="5"/>
        <v>-</v>
      </c>
      <c r="R8" s="118">
        <f t="shared" si="8"/>
        <v>90961</v>
      </c>
      <c r="S8" s="557">
        <f t="shared" si="6"/>
        <v>100</v>
      </c>
      <c r="U8" s="47"/>
    </row>
    <row r="9" spans="1:21" s="46" customFormat="1" ht="15" customHeight="1">
      <c r="A9" s="1242"/>
      <c r="B9" s="1568"/>
      <c r="C9" s="126" t="s">
        <v>1389</v>
      </c>
      <c r="D9" s="127"/>
      <c r="E9" s="128"/>
      <c r="F9" s="127"/>
      <c r="G9" s="129"/>
      <c r="H9" s="127"/>
      <c r="I9" s="128"/>
      <c r="J9" s="127"/>
      <c r="K9" s="129"/>
      <c r="L9" s="127"/>
      <c r="M9" s="128"/>
      <c r="N9" s="127"/>
      <c r="O9" s="129"/>
      <c r="P9" s="127"/>
      <c r="Q9" s="131"/>
      <c r="R9" s="144"/>
      <c r="S9" s="558"/>
      <c r="U9" s="47"/>
    </row>
    <row r="10" spans="1:21" s="46" customFormat="1" ht="15" customHeight="1">
      <c r="A10" s="1186">
        <v>3</v>
      </c>
      <c r="B10" s="1569" t="s">
        <v>597</v>
      </c>
      <c r="C10" s="120">
        <v>1981</v>
      </c>
      <c r="D10" s="121">
        <v>118759</v>
      </c>
      <c r="E10" s="122">
        <f t="shared" si="7"/>
        <v>88.03</v>
      </c>
      <c r="F10" s="132">
        <v>2218</v>
      </c>
      <c r="G10" s="123">
        <f t="shared" si="0"/>
        <v>1.64</v>
      </c>
      <c r="H10" s="133" t="s">
        <v>1127</v>
      </c>
      <c r="I10" s="122" t="str">
        <f t="shared" si="1"/>
        <v>-</v>
      </c>
      <c r="J10" s="132">
        <v>6</v>
      </c>
      <c r="K10" s="123">
        <f>IF(J10="-","-",ROUND(J10/$R10*100,2))+0.01</f>
        <v>0.01</v>
      </c>
      <c r="L10" s="133" t="s">
        <v>1127</v>
      </c>
      <c r="M10" s="122" t="str">
        <f t="shared" si="3"/>
        <v>-</v>
      </c>
      <c r="N10" s="132">
        <v>254</v>
      </c>
      <c r="O10" s="123">
        <f t="shared" si="4"/>
        <v>0.19</v>
      </c>
      <c r="P10" s="132">
        <v>13663</v>
      </c>
      <c r="Q10" s="134">
        <f t="shared" si="5"/>
        <v>10.130000000000001</v>
      </c>
      <c r="R10" s="118">
        <f t="shared" si="8"/>
        <v>134900</v>
      </c>
      <c r="S10" s="557">
        <f t="shared" si="6"/>
        <v>100</v>
      </c>
      <c r="U10" s="47"/>
    </row>
    <row r="11" spans="1:21" s="46" customFormat="1" ht="15" customHeight="1">
      <c r="A11" s="1242"/>
      <c r="B11" s="1568"/>
      <c r="C11" s="126">
        <v>1991</v>
      </c>
      <c r="D11" s="135">
        <v>132198</v>
      </c>
      <c r="E11" s="128">
        <f t="shared" si="7"/>
        <v>84.66</v>
      </c>
      <c r="F11" s="127">
        <v>3150</v>
      </c>
      <c r="G11" s="129">
        <f t="shared" si="0"/>
        <v>2.02</v>
      </c>
      <c r="H11" s="127">
        <v>9</v>
      </c>
      <c r="I11" s="128">
        <f t="shared" si="1"/>
        <v>0.01</v>
      </c>
      <c r="J11" s="130" t="s">
        <v>1127</v>
      </c>
      <c r="K11" s="129" t="str">
        <f t="shared" si="2"/>
        <v>-</v>
      </c>
      <c r="L11" s="130" t="s">
        <v>1127</v>
      </c>
      <c r="M11" s="128" t="str">
        <f t="shared" si="3"/>
        <v>-</v>
      </c>
      <c r="N11" s="127">
        <v>383</v>
      </c>
      <c r="O11" s="129">
        <f>IF(N11="-","-",ROUND(N11/$R11*100,2))-0.01</f>
        <v>0.24</v>
      </c>
      <c r="P11" s="127">
        <v>20407</v>
      </c>
      <c r="Q11" s="131">
        <f t="shared" si="5"/>
        <v>13.07</v>
      </c>
      <c r="R11" s="144">
        <f t="shared" si="8"/>
        <v>156147</v>
      </c>
      <c r="S11" s="558">
        <f t="shared" si="6"/>
        <v>100</v>
      </c>
      <c r="U11" s="47"/>
    </row>
    <row r="12" spans="1:21" s="46" customFormat="1" ht="15" customHeight="1">
      <c r="A12" s="1186">
        <v>4</v>
      </c>
      <c r="B12" s="1569" t="s">
        <v>598</v>
      </c>
      <c r="C12" s="120">
        <v>1981</v>
      </c>
      <c r="D12" s="121">
        <v>91554</v>
      </c>
      <c r="E12" s="122">
        <f t="shared" si="7"/>
        <v>96.64</v>
      </c>
      <c r="F12" s="132">
        <v>932</v>
      </c>
      <c r="G12" s="123">
        <f>IF(F12="-","-",ROUND(F12/$R12*100,2))+0.01</f>
        <v>0.99</v>
      </c>
      <c r="H12" s="132">
        <v>32</v>
      </c>
      <c r="I12" s="122">
        <f t="shared" si="1"/>
        <v>0.03</v>
      </c>
      <c r="J12" s="133" t="s">
        <v>1127</v>
      </c>
      <c r="K12" s="123" t="str">
        <f t="shared" si="2"/>
        <v>-</v>
      </c>
      <c r="L12" s="133" t="s">
        <v>1127</v>
      </c>
      <c r="M12" s="122" t="str">
        <f t="shared" si="3"/>
        <v>-</v>
      </c>
      <c r="N12" s="132">
        <v>178</v>
      </c>
      <c r="O12" s="123">
        <f>IF(N12="-","-",ROUND(N12/$R12*100,5))</f>
        <v>0.18789</v>
      </c>
      <c r="P12" s="132">
        <v>2038</v>
      </c>
      <c r="Q12" s="134">
        <f t="shared" si="5"/>
        <v>2.15</v>
      </c>
      <c r="R12" s="118">
        <f t="shared" si="8"/>
        <v>94734</v>
      </c>
      <c r="S12" s="557">
        <f t="shared" si="6"/>
        <v>99.997889999999998</v>
      </c>
      <c r="U12" s="47"/>
    </row>
    <row r="13" spans="1:21" s="46" customFormat="1" ht="15" customHeight="1">
      <c r="A13" s="1242"/>
      <c r="B13" s="1568"/>
      <c r="C13" s="126">
        <v>1991</v>
      </c>
      <c r="D13" s="127">
        <v>97414</v>
      </c>
      <c r="E13" s="128">
        <f t="shared" si="7"/>
        <v>87.82</v>
      </c>
      <c r="F13" s="127">
        <v>1682</v>
      </c>
      <c r="G13" s="129">
        <f t="shared" si="0"/>
        <v>1.52</v>
      </c>
      <c r="H13" s="127">
        <v>24</v>
      </c>
      <c r="I13" s="128">
        <f t="shared" si="1"/>
        <v>0.02</v>
      </c>
      <c r="J13" s="130" t="s">
        <v>1127</v>
      </c>
      <c r="K13" s="129" t="str">
        <f t="shared" si="2"/>
        <v>-</v>
      </c>
      <c r="L13" s="130" t="s">
        <v>1127</v>
      </c>
      <c r="M13" s="128" t="str">
        <f t="shared" si="3"/>
        <v>-</v>
      </c>
      <c r="N13" s="127">
        <v>1453</v>
      </c>
      <c r="O13" s="129">
        <f t="shared" si="4"/>
        <v>1.31</v>
      </c>
      <c r="P13" s="127">
        <v>10356</v>
      </c>
      <c r="Q13" s="131">
        <f>IF(P13="-","-",ROUND(P13/$R13*100,2))-0.01</f>
        <v>9.33</v>
      </c>
      <c r="R13" s="144">
        <f t="shared" si="8"/>
        <v>110929</v>
      </c>
      <c r="S13" s="558">
        <f t="shared" si="6"/>
        <v>99.999999999999986</v>
      </c>
      <c r="U13" s="47"/>
    </row>
    <row r="14" spans="1:21" s="46" customFormat="1" ht="15" customHeight="1">
      <c r="A14" s="1186">
        <v>5</v>
      </c>
      <c r="B14" s="1569" t="s">
        <v>599</v>
      </c>
      <c r="C14" s="120">
        <v>1981</v>
      </c>
      <c r="D14" s="121">
        <v>59445</v>
      </c>
      <c r="E14" s="122">
        <f t="shared" si="7"/>
        <v>96.78</v>
      </c>
      <c r="F14" s="132">
        <v>1520</v>
      </c>
      <c r="G14" s="123">
        <f>IF(F14="-","-",ROUND(F14/$R14*100,2))+0.01</f>
        <v>2.48</v>
      </c>
      <c r="H14" s="132">
        <v>2</v>
      </c>
      <c r="I14" s="122">
        <f t="shared" si="1"/>
        <v>0</v>
      </c>
      <c r="J14" s="133" t="s">
        <v>1127</v>
      </c>
      <c r="K14" s="123" t="str">
        <f t="shared" si="2"/>
        <v>-</v>
      </c>
      <c r="L14" s="132">
        <v>1</v>
      </c>
      <c r="M14" s="122">
        <f t="shared" si="3"/>
        <v>0</v>
      </c>
      <c r="N14" s="132">
        <v>456</v>
      </c>
      <c r="O14" s="123">
        <f t="shared" si="4"/>
        <v>0.74</v>
      </c>
      <c r="P14" s="133" t="s">
        <v>1127</v>
      </c>
      <c r="Q14" s="134" t="str">
        <f t="shared" si="5"/>
        <v>-</v>
      </c>
      <c r="R14" s="118">
        <f t="shared" si="8"/>
        <v>61424</v>
      </c>
      <c r="S14" s="557">
        <f t="shared" si="6"/>
        <v>100</v>
      </c>
      <c r="U14" s="47"/>
    </row>
    <row r="15" spans="1:21" s="46" customFormat="1" ht="15" customHeight="1">
      <c r="A15" s="1242"/>
      <c r="B15" s="1568"/>
      <c r="C15" s="126">
        <v>1991</v>
      </c>
      <c r="D15" s="127">
        <v>66518</v>
      </c>
      <c r="E15" s="128">
        <f t="shared" si="7"/>
        <v>95.99</v>
      </c>
      <c r="F15" s="127">
        <v>2024</v>
      </c>
      <c r="G15" s="129">
        <f t="shared" si="0"/>
        <v>2.92</v>
      </c>
      <c r="H15" s="127">
        <v>4</v>
      </c>
      <c r="I15" s="128">
        <f t="shared" si="1"/>
        <v>0.01</v>
      </c>
      <c r="J15" s="127">
        <v>1</v>
      </c>
      <c r="K15" s="129">
        <f t="shared" si="2"/>
        <v>0</v>
      </c>
      <c r="L15" s="130" t="s">
        <v>1127</v>
      </c>
      <c r="M15" s="128" t="str">
        <f t="shared" si="3"/>
        <v>-</v>
      </c>
      <c r="N15" s="127">
        <v>46</v>
      </c>
      <c r="O15" s="129">
        <f t="shared" si="4"/>
        <v>7.0000000000000007E-2</v>
      </c>
      <c r="P15" s="127">
        <v>701</v>
      </c>
      <c r="Q15" s="131">
        <f t="shared" si="5"/>
        <v>1.01</v>
      </c>
      <c r="R15" s="144">
        <f t="shared" si="8"/>
        <v>69294</v>
      </c>
      <c r="S15" s="558">
        <f t="shared" si="6"/>
        <v>100</v>
      </c>
      <c r="U15" s="47"/>
    </row>
    <row r="16" spans="1:21" s="46" customFormat="1" ht="15" customHeight="1">
      <c r="A16" s="1186">
        <v>6</v>
      </c>
      <c r="B16" s="1569" t="s">
        <v>1243</v>
      </c>
      <c r="C16" s="120">
        <v>1981</v>
      </c>
      <c r="D16" s="121">
        <v>124709</v>
      </c>
      <c r="E16" s="122">
        <f t="shared" si="7"/>
        <v>99.92</v>
      </c>
      <c r="F16" s="132">
        <v>62</v>
      </c>
      <c r="G16" s="123">
        <f t="shared" si="0"/>
        <v>0.05</v>
      </c>
      <c r="H16" s="132">
        <v>13</v>
      </c>
      <c r="I16" s="122">
        <f t="shared" si="1"/>
        <v>0.01</v>
      </c>
      <c r="J16" s="133" t="s">
        <v>1127</v>
      </c>
      <c r="K16" s="123" t="str">
        <f t="shared" si="2"/>
        <v>-</v>
      </c>
      <c r="L16" s="132">
        <v>4</v>
      </c>
      <c r="M16" s="122">
        <f t="shared" si="3"/>
        <v>0</v>
      </c>
      <c r="N16" s="133" t="s">
        <v>1127</v>
      </c>
      <c r="O16" s="123" t="str">
        <f t="shared" si="4"/>
        <v>-</v>
      </c>
      <c r="P16" s="132">
        <v>26</v>
      </c>
      <c r="Q16" s="134">
        <f t="shared" si="5"/>
        <v>0.02</v>
      </c>
      <c r="R16" s="118">
        <f t="shared" si="8"/>
        <v>124814</v>
      </c>
      <c r="S16" s="557">
        <f t="shared" si="6"/>
        <v>100</v>
      </c>
      <c r="U16" s="47"/>
    </row>
    <row r="17" spans="1:21" s="46" customFormat="1" ht="15" customHeight="1">
      <c r="A17" s="1242"/>
      <c r="B17" s="1568"/>
      <c r="C17" s="126">
        <v>1991</v>
      </c>
      <c r="D17" s="127">
        <v>142523</v>
      </c>
      <c r="E17" s="128">
        <f>IF(D17="-","-",ROUND(D17/$R17*100,2))+0.01</f>
        <v>99.26</v>
      </c>
      <c r="F17" s="127">
        <v>96</v>
      </c>
      <c r="G17" s="129">
        <f t="shared" si="0"/>
        <v>7.0000000000000007E-2</v>
      </c>
      <c r="H17" s="127">
        <v>31</v>
      </c>
      <c r="I17" s="128">
        <f t="shared" si="1"/>
        <v>0.02</v>
      </c>
      <c r="J17" s="127">
        <v>1</v>
      </c>
      <c r="K17" s="129">
        <f t="shared" si="2"/>
        <v>0</v>
      </c>
      <c r="L17" s="127">
        <v>4</v>
      </c>
      <c r="M17" s="128">
        <f t="shared" si="3"/>
        <v>0</v>
      </c>
      <c r="N17" s="127">
        <v>18</v>
      </c>
      <c r="O17" s="129">
        <f t="shared" si="4"/>
        <v>0.01</v>
      </c>
      <c r="P17" s="127">
        <v>922</v>
      </c>
      <c r="Q17" s="131">
        <f t="shared" si="5"/>
        <v>0.64</v>
      </c>
      <c r="R17" s="144">
        <f t="shared" si="8"/>
        <v>143595</v>
      </c>
      <c r="S17" s="558">
        <f t="shared" si="6"/>
        <v>100</v>
      </c>
      <c r="U17" s="47"/>
    </row>
    <row r="18" spans="1:21" s="46" customFormat="1" ht="15" customHeight="1">
      <c r="A18" s="1186">
        <v>7</v>
      </c>
      <c r="B18" s="1569" t="s">
        <v>600</v>
      </c>
      <c r="C18" s="120">
        <v>1981</v>
      </c>
      <c r="D18" s="121">
        <v>128378</v>
      </c>
      <c r="E18" s="122">
        <f t="shared" si="7"/>
        <v>94.6</v>
      </c>
      <c r="F18" s="132">
        <v>7321</v>
      </c>
      <c r="G18" s="123">
        <f>IF(F18="-","-",ROUND(F18/$R18*100,2))+0.01</f>
        <v>5.3999999999999995</v>
      </c>
      <c r="H18" s="132">
        <v>4</v>
      </c>
      <c r="I18" s="122">
        <f t="shared" si="1"/>
        <v>0</v>
      </c>
      <c r="J18" s="133" t="s">
        <v>1127</v>
      </c>
      <c r="K18" s="123" t="str">
        <f t="shared" si="2"/>
        <v>-</v>
      </c>
      <c r="L18" s="133" t="s">
        <v>1127</v>
      </c>
      <c r="M18" s="122" t="str">
        <f t="shared" si="3"/>
        <v>-</v>
      </c>
      <c r="N18" s="133" t="s">
        <v>1127</v>
      </c>
      <c r="O18" s="123" t="str">
        <f t="shared" si="4"/>
        <v>-</v>
      </c>
      <c r="P18" s="133" t="s">
        <v>1127</v>
      </c>
      <c r="Q18" s="134" t="str">
        <f t="shared" si="5"/>
        <v>-</v>
      </c>
      <c r="R18" s="118">
        <f t="shared" si="8"/>
        <v>135703</v>
      </c>
      <c r="S18" s="557">
        <f t="shared" si="6"/>
        <v>100</v>
      </c>
      <c r="U18" s="47"/>
    </row>
    <row r="19" spans="1:21" s="46" customFormat="1" ht="15" customHeight="1">
      <c r="A19" s="1242"/>
      <c r="B19" s="1568"/>
      <c r="C19" s="126">
        <v>1991</v>
      </c>
      <c r="D19" s="127">
        <v>149398</v>
      </c>
      <c r="E19" s="128">
        <f t="shared" si="7"/>
        <v>93.93</v>
      </c>
      <c r="F19" s="127">
        <v>9640</v>
      </c>
      <c r="G19" s="129">
        <f t="shared" si="0"/>
        <v>6.06</v>
      </c>
      <c r="H19" s="127">
        <v>15</v>
      </c>
      <c r="I19" s="128">
        <f t="shared" si="1"/>
        <v>0.01</v>
      </c>
      <c r="J19" s="127">
        <v>1</v>
      </c>
      <c r="K19" s="129">
        <f t="shared" si="2"/>
        <v>0</v>
      </c>
      <c r="L19" s="130" t="s">
        <v>1127</v>
      </c>
      <c r="M19" s="128" t="str">
        <f t="shared" si="3"/>
        <v>-</v>
      </c>
      <c r="N19" s="130" t="s">
        <v>1127</v>
      </c>
      <c r="O19" s="129" t="str">
        <f t="shared" si="4"/>
        <v>-</v>
      </c>
      <c r="P19" s="127">
        <v>6</v>
      </c>
      <c r="Q19" s="131">
        <f t="shared" si="5"/>
        <v>0</v>
      </c>
      <c r="R19" s="144">
        <f t="shared" si="8"/>
        <v>159060</v>
      </c>
      <c r="S19" s="558">
        <f t="shared" si="6"/>
        <v>100.00000000000001</v>
      </c>
      <c r="U19" s="47"/>
    </row>
    <row r="20" spans="1:21" s="46" customFormat="1" ht="15" customHeight="1">
      <c r="A20" s="1186">
        <v>8</v>
      </c>
      <c r="B20" s="1569" t="s">
        <v>602</v>
      </c>
      <c r="C20" s="120">
        <v>1981</v>
      </c>
      <c r="D20" s="121">
        <v>148692</v>
      </c>
      <c r="E20" s="122">
        <f t="shared" si="7"/>
        <v>92.45</v>
      </c>
      <c r="F20" s="132">
        <v>11633</v>
      </c>
      <c r="G20" s="123">
        <f t="shared" si="0"/>
        <v>7.23</v>
      </c>
      <c r="H20" s="132">
        <v>290</v>
      </c>
      <c r="I20" s="122">
        <f t="shared" si="1"/>
        <v>0.18</v>
      </c>
      <c r="J20" s="133" t="s">
        <v>1127</v>
      </c>
      <c r="K20" s="123" t="str">
        <f t="shared" si="2"/>
        <v>-</v>
      </c>
      <c r="L20" s="133" t="s">
        <v>1127</v>
      </c>
      <c r="M20" s="122" t="str">
        <f t="shared" si="3"/>
        <v>-</v>
      </c>
      <c r="N20" s="133" t="s">
        <v>1127</v>
      </c>
      <c r="O20" s="123" t="str">
        <f t="shared" si="4"/>
        <v>-</v>
      </c>
      <c r="P20" s="132">
        <v>223</v>
      </c>
      <c r="Q20" s="134">
        <f t="shared" si="5"/>
        <v>0.14000000000000001</v>
      </c>
      <c r="R20" s="118">
        <f t="shared" si="8"/>
        <v>160838</v>
      </c>
      <c r="S20" s="557">
        <f t="shared" si="6"/>
        <v>100.00000000000001</v>
      </c>
      <c r="U20" s="47"/>
    </row>
    <row r="21" spans="1:21" s="46" customFormat="1" ht="15" customHeight="1">
      <c r="A21" s="1242"/>
      <c r="B21" s="1568"/>
      <c r="C21" s="126">
        <v>1991</v>
      </c>
      <c r="D21" s="127">
        <v>169939</v>
      </c>
      <c r="E21" s="128">
        <f t="shared" si="7"/>
        <v>88.94</v>
      </c>
      <c r="F21" s="127">
        <v>18369</v>
      </c>
      <c r="G21" s="129">
        <f t="shared" si="0"/>
        <v>9.61</v>
      </c>
      <c r="H21" s="127">
        <v>8</v>
      </c>
      <c r="I21" s="128">
        <f t="shared" si="1"/>
        <v>0</v>
      </c>
      <c r="J21" s="130" t="s">
        <v>1127</v>
      </c>
      <c r="K21" s="129" t="str">
        <f t="shared" si="2"/>
        <v>-</v>
      </c>
      <c r="L21" s="130" t="s">
        <v>1127</v>
      </c>
      <c r="M21" s="128" t="str">
        <f t="shared" si="3"/>
        <v>-</v>
      </c>
      <c r="N21" s="130" t="s">
        <v>1127</v>
      </c>
      <c r="O21" s="129" t="str">
        <f t="shared" si="4"/>
        <v>-</v>
      </c>
      <c r="P21" s="127">
        <v>2762</v>
      </c>
      <c r="Q21" s="131">
        <f t="shared" si="5"/>
        <v>1.45</v>
      </c>
      <c r="R21" s="144">
        <f t="shared" si="8"/>
        <v>191078</v>
      </c>
      <c r="S21" s="558">
        <f t="shared" si="6"/>
        <v>100</v>
      </c>
      <c r="U21" s="47"/>
    </row>
    <row r="22" spans="1:21" s="46" customFormat="1" ht="15" customHeight="1">
      <c r="A22" s="1186">
        <v>9</v>
      </c>
      <c r="B22" s="1569" t="s">
        <v>605</v>
      </c>
      <c r="C22" s="120">
        <v>1981</v>
      </c>
      <c r="D22" s="121">
        <v>97838</v>
      </c>
      <c r="E22" s="122">
        <f t="shared" si="7"/>
        <v>94.84</v>
      </c>
      <c r="F22" s="132">
        <v>3397</v>
      </c>
      <c r="G22" s="123">
        <f t="shared" si="0"/>
        <v>3.29</v>
      </c>
      <c r="H22" s="133" t="s">
        <v>1127</v>
      </c>
      <c r="I22" s="122" t="str">
        <f t="shared" si="1"/>
        <v>-</v>
      </c>
      <c r="J22" s="133" t="s">
        <v>1127</v>
      </c>
      <c r="K22" s="123" t="str">
        <f t="shared" si="2"/>
        <v>-</v>
      </c>
      <c r="L22" s="133" t="s">
        <v>1127</v>
      </c>
      <c r="M22" s="122" t="str">
        <f t="shared" si="3"/>
        <v>-</v>
      </c>
      <c r="N22" s="133" t="s">
        <v>1127</v>
      </c>
      <c r="O22" s="123" t="str">
        <f t="shared" si="4"/>
        <v>-</v>
      </c>
      <c r="P22" s="132">
        <v>1927</v>
      </c>
      <c r="Q22" s="134">
        <f t="shared" si="5"/>
        <v>1.87</v>
      </c>
      <c r="R22" s="118">
        <f t="shared" si="8"/>
        <v>103162</v>
      </c>
      <c r="S22" s="557">
        <f t="shared" si="6"/>
        <v>100.00000000000001</v>
      </c>
      <c r="U22" s="47"/>
    </row>
    <row r="23" spans="1:21" s="46" customFormat="1" ht="15" customHeight="1">
      <c r="A23" s="1242"/>
      <c r="B23" s="1568"/>
      <c r="C23" s="126">
        <v>1991</v>
      </c>
      <c r="D23" s="127">
        <v>117715</v>
      </c>
      <c r="E23" s="128">
        <f t="shared" si="7"/>
        <v>94.09</v>
      </c>
      <c r="F23" s="127">
        <v>3601</v>
      </c>
      <c r="G23" s="129">
        <f t="shared" si="0"/>
        <v>2.88</v>
      </c>
      <c r="H23" s="130" t="s">
        <v>1127</v>
      </c>
      <c r="I23" s="128" t="str">
        <f t="shared" si="1"/>
        <v>-</v>
      </c>
      <c r="J23" s="130" t="s">
        <v>1127</v>
      </c>
      <c r="K23" s="129" t="str">
        <f t="shared" si="2"/>
        <v>-</v>
      </c>
      <c r="L23" s="130" t="s">
        <v>1127</v>
      </c>
      <c r="M23" s="128" t="str">
        <f t="shared" si="3"/>
        <v>-</v>
      </c>
      <c r="N23" s="130" t="s">
        <v>1127</v>
      </c>
      <c r="O23" s="129" t="str">
        <f t="shared" si="4"/>
        <v>-</v>
      </c>
      <c r="P23" s="127">
        <v>3790</v>
      </c>
      <c r="Q23" s="131">
        <f t="shared" si="5"/>
        <v>3.03</v>
      </c>
      <c r="R23" s="144">
        <f t="shared" si="8"/>
        <v>125106</v>
      </c>
      <c r="S23" s="558">
        <f t="shared" si="6"/>
        <v>100</v>
      </c>
      <c r="U23" s="47"/>
    </row>
    <row r="24" spans="1:21" s="46" customFormat="1" ht="15" customHeight="1">
      <c r="A24" s="1186">
        <v>10</v>
      </c>
      <c r="B24" s="1569" t="s">
        <v>604</v>
      </c>
      <c r="C24" s="120">
        <v>1981</v>
      </c>
      <c r="D24" s="121">
        <v>67779</v>
      </c>
      <c r="E24" s="122">
        <f>IF(D24="-","-",ROUND(D24/$R24*100,2))-0.01</f>
        <v>89.559999999999988</v>
      </c>
      <c r="F24" s="132">
        <v>1520</v>
      </c>
      <c r="G24" s="123">
        <f t="shared" si="0"/>
        <v>2.0099999999999998</v>
      </c>
      <c r="H24" s="132">
        <v>20</v>
      </c>
      <c r="I24" s="122">
        <f t="shared" si="1"/>
        <v>0.03</v>
      </c>
      <c r="J24" s="133" t="s">
        <v>1127</v>
      </c>
      <c r="K24" s="123" t="str">
        <f t="shared" si="2"/>
        <v>-</v>
      </c>
      <c r="L24" s="132">
        <v>5</v>
      </c>
      <c r="M24" s="122">
        <f t="shared" si="3"/>
        <v>0.01</v>
      </c>
      <c r="N24" s="133" t="s">
        <v>1127</v>
      </c>
      <c r="O24" s="123" t="str">
        <f t="shared" si="4"/>
        <v>-</v>
      </c>
      <c r="P24" s="132">
        <v>6351</v>
      </c>
      <c r="Q24" s="134">
        <f t="shared" si="5"/>
        <v>8.39</v>
      </c>
      <c r="R24" s="118">
        <f t="shared" si="8"/>
        <v>75675</v>
      </c>
      <c r="S24" s="557">
        <f t="shared" si="6"/>
        <v>100</v>
      </c>
      <c r="U24" s="47"/>
    </row>
    <row r="25" spans="1:21" s="46" customFormat="1" ht="15" customHeight="1">
      <c r="A25" s="1242"/>
      <c r="B25" s="1568"/>
      <c r="C25" s="126">
        <v>1991</v>
      </c>
      <c r="D25" s="127">
        <v>127929</v>
      </c>
      <c r="E25" s="128">
        <f t="shared" si="7"/>
        <v>84.37</v>
      </c>
      <c r="F25" s="127">
        <v>3542</v>
      </c>
      <c r="G25" s="129">
        <f t="shared" si="0"/>
        <v>2.34</v>
      </c>
      <c r="H25" s="127">
        <v>38</v>
      </c>
      <c r="I25" s="128">
        <f>IF(H25="-","-",ROUND(H25/$R25*100,2))-0.01</f>
        <v>1.9999999999999997E-2</v>
      </c>
      <c r="J25" s="130" t="s">
        <v>1127</v>
      </c>
      <c r="K25" s="129" t="str">
        <f t="shared" si="2"/>
        <v>-</v>
      </c>
      <c r="L25" s="127">
        <v>5</v>
      </c>
      <c r="M25" s="128">
        <f t="shared" si="3"/>
        <v>0</v>
      </c>
      <c r="N25" s="130" t="s">
        <v>1127</v>
      </c>
      <c r="O25" s="129" t="str">
        <f t="shared" si="4"/>
        <v>-</v>
      </c>
      <c r="P25" s="127">
        <v>20116</v>
      </c>
      <c r="Q25" s="131">
        <f t="shared" si="5"/>
        <v>13.27</v>
      </c>
      <c r="R25" s="144">
        <f t="shared" si="8"/>
        <v>151630</v>
      </c>
      <c r="S25" s="558">
        <f t="shared" si="6"/>
        <v>100</v>
      </c>
      <c r="U25" s="47"/>
    </row>
    <row r="26" spans="1:21" s="46" customFormat="1" ht="15" customHeight="1">
      <c r="A26" s="1186">
        <v>11</v>
      </c>
      <c r="B26" s="1569" t="s">
        <v>368</v>
      </c>
      <c r="C26" s="120">
        <v>1981</v>
      </c>
      <c r="D26" s="121">
        <v>50666</v>
      </c>
      <c r="E26" s="122">
        <f t="shared" si="7"/>
        <v>89.76</v>
      </c>
      <c r="F26" s="132">
        <v>1114</v>
      </c>
      <c r="G26" s="123">
        <f>IF(F26="-","-",ROUND(F26/$R26*100,2))+0.01</f>
        <v>1.98</v>
      </c>
      <c r="H26" s="132">
        <v>7</v>
      </c>
      <c r="I26" s="122">
        <f t="shared" si="1"/>
        <v>0.01</v>
      </c>
      <c r="J26" s="133" t="s">
        <v>1127</v>
      </c>
      <c r="K26" s="123" t="str">
        <f t="shared" si="2"/>
        <v>-</v>
      </c>
      <c r="L26" s="132">
        <v>2</v>
      </c>
      <c r="M26" s="122">
        <f t="shared" si="3"/>
        <v>0</v>
      </c>
      <c r="N26" s="133" t="s">
        <v>1127</v>
      </c>
      <c r="O26" s="123" t="str">
        <f t="shared" si="4"/>
        <v>-</v>
      </c>
      <c r="P26" s="132">
        <v>4657</v>
      </c>
      <c r="Q26" s="134">
        <f t="shared" si="5"/>
        <v>8.25</v>
      </c>
      <c r="R26" s="118">
        <f t="shared" si="8"/>
        <v>56446</v>
      </c>
      <c r="S26" s="557">
        <f t="shared" si="6"/>
        <v>100.00000000000001</v>
      </c>
      <c r="U26" s="47"/>
    </row>
    <row r="27" spans="1:21" s="46" customFormat="1" ht="15" customHeight="1">
      <c r="A27" s="1242"/>
      <c r="B27" s="1568"/>
      <c r="C27" s="126" t="s">
        <v>1389</v>
      </c>
      <c r="D27" s="127"/>
      <c r="E27" s="128"/>
      <c r="F27" s="127"/>
      <c r="G27" s="129"/>
      <c r="H27" s="127"/>
      <c r="I27" s="128"/>
      <c r="J27" s="127"/>
      <c r="K27" s="129"/>
      <c r="L27" s="127"/>
      <c r="M27" s="128"/>
      <c r="N27" s="130"/>
      <c r="O27" s="129"/>
      <c r="P27" s="127"/>
      <c r="Q27" s="131"/>
      <c r="R27" s="144"/>
      <c r="S27" s="558"/>
      <c r="U27" s="47"/>
    </row>
    <row r="28" spans="1:21" s="46" customFormat="1" ht="15" customHeight="1">
      <c r="A28" s="24"/>
      <c r="B28" s="420"/>
      <c r="C28" s="119"/>
      <c r="D28" s="555"/>
      <c r="E28" s="122"/>
      <c r="F28" s="555"/>
      <c r="G28" s="122"/>
      <c r="H28" s="555"/>
      <c r="I28" s="122"/>
      <c r="J28" s="555"/>
      <c r="K28" s="122"/>
      <c r="L28" s="555"/>
      <c r="M28" s="122"/>
      <c r="N28" s="556"/>
      <c r="O28" s="122"/>
      <c r="P28" s="555"/>
      <c r="Q28" s="122"/>
      <c r="R28" s="119"/>
      <c r="S28" s="783" t="s">
        <v>480</v>
      </c>
      <c r="U28" s="47"/>
    </row>
    <row r="29" spans="1:21" ht="15" customHeight="1">
      <c r="A29" s="1223" t="s">
        <v>1217</v>
      </c>
      <c r="B29" s="1223"/>
      <c r="C29" s="1223"/>
      <c r="D29" s="1223"/>
      <c r="E29" s="1223"/>
      <c r="F29" s="1223"/>
      <c r="G29" s="1223"/>
      <c r="H29" s="1223"/>
      <c r="I29" s="1223"/>
      <c r="J29" s="1223"/>
      <c r="K29" s="1223"/>
      <c r="L29" s="1223"/>
      <c r="M29" s="1223"/>
      <c r="N29" s="1223"/>
      <c r="O29" s="1223"/>
      <c r="P29" s="1223"/>
      <c r="Q29" s="1223"/>
      <c r="R29" s="1223"/>
      <c r="S29" s="1223"/>
    </row>
    <row r="30" spans="1:21" ht="15" customHeight="1">
      <c r="A30" s="1258" t="s">
        <v>1492</v>
      </c>
      <c r="B30" s="1194" t="s">
        <v>495</v>
      </c>
      <c r="C30" s="1573" t="s">
        <v>623</v>
      </c>
      <c r="D30" s="1193" t="s">
        <v>69</v>
      </c>
      <c r="E30" s="1191"/>
      <c r="F30" s="1193" t="s">
        <v>70</v>
      </c>
      <c r="G30" s="1192"/>
      <c r="H30" s="1191" t="s">
        <v>71</v>
      </c>
      <c r="I30" s="1191"/>
      <c r="J30" s="1193" t="s">
        <v>72</v>
      </c>
      <c r="K30" s="1192"/>
      <c r="L30" s="1191" t="s">
        <v>73</v>
      </c>
      <c r="M30" s="1191"/>
      <c r="N30" s="1193" t="s">
        <v>74</v>
      </c>
      <c r="O30" s="1192"/>
      <c r="P30" s="1191" t="s">
        <v>592</v>
      </c>
      <c r="Q30" s="1192"/>
      <c r="R30" s="1191" t="s">
        <v>439</v>
      </c>
      <c r="S30" s="1192"/>
    </row>
    <row r="31" spans="1:21" ht="79.5" customHeight="1">
      <c r="A31" s="1264"/>
      <c r="B31" s="1195"/>
      <c r="C31" s="1574"/>
      <c r="D31" s="779" t="s">
        <v>1420</v>
      </c>
      <c r="E31" s="779" t="s">
        <v>89</v>
      </c>
      <c r="F31" s="780" t="s">
        <v>1420</v>
      </c>
      <c r="G31" s="779" t="s">
        <v>1493</v>
      </c>
      <c r="H31" s="778" t="s">
        <v>1420</v>
      </c>
      <c r="I31" s="779" t="s">
        <v>89</v>
      </c>
      <c r="J31" s="780" t="s">
        <v>1420</v>
      </c>
      <c r="K31" s="779" t="s">
        <v>89</v>
      </c>
      <c r="L31" s="778" t="s">
        <v>1420</v>
      </c>
      <c r="M31" s="779" t="s">
        <v>89</v>
      </c>
      <c r="N31" s="780" t="s">
        <v>1420</v>
      </c>
      <c r="O31" s="779" t="s">
        <v>89</v>
      </c>
      <c r="P31" s="778" t="s">
        <v>1420</v>
      </c>
      <c r="Q31" s="779" t="s">
        <v>89</v>
      </c>
      <c r="R31" s="778" t="s">
        <v>1421</v>
      </c>
      <c r="S31" s="779" t="s">
        <v>89</v>
      </c>
    </row>
    <row r="32" spans="1:21" ht="15" customHeight="1">
      <c r="A32" s="221" t="s">
        <v>418</v>
      </c>
      <c r="B32" s="213" t="s">
        <v>419</v>
      </c>
      <c r="C32" s="222" t="s">
        <v>420</v>
      </c>
      <c r="D32" s="297" t="s">
        <v>421</v>
      </c>
      <c r="E32" s="161" t="s">
        <v>422</v>
      </c>
      <c r="F32" s="221" t="s">
        <v>423</v>
      </c>
      <c r="G32" s="213" t="s">
        <v>424</v>
      </c>
      <c r="H32" s="222" t="s">
        <v>440</v>
      </c>
      <c r="I32" s="221" t="s">
        <v>441</v>
      </c>
      <c r="J32" s="221" t="s">
        <v>442</v>
      </c>
      <c r="K32" s="213" t="s">
        <v>443</v>
      </c>
      <c r="L32" s="222" t="s">
        <v>537</v>
      </c>
      <c r="M32" s="221" t="s">
        <v>538</v>
      </c>
      <c r="N32" s="221" t="s">
        <v>539</v>
      </c>
      <c r="O32" s="213" t="s">
        <v>540</v>
      </c>
      <c r="P32" s="222" t="s">
        <v>542</v>
      </c>
      <c r="Q32" s="213" t="s">
        <v>543</v>
      </c>
      <c r="R32" s="213" t="s">
        <v>545</v>
      </c>
      <c r="S32" s="214" t="s">
        <v>544</v>
      </c>
    </row>
    <row r="33" spans="1:21" ht="14.25" customHeight="1">
      <c r="A33" s="1186">
        <v>12</v>
      </c>
      <c r="B33" s="1569" t="s">
        <v>606</v>
      </c>
      <c r="C33" s="120">
        <v>1981</v>
      </c>
      <c r="D33" s="121">
        <v>56360</v>
      </c>
      <c r="E33" s="136">
        <f>IF(D33="-","-",ROUND(D33/$R33*100,2))</f>
        <v>67.98</v>
      </c>
      <c r="F33" s="121">
        <v>629</v>
      </c>
      <c r="G33" s="137">
        <f>IF(F33="-","-",ROUND(F33/$R33*100,2))</f>
        <v>0.76</v>
      </c>
      <c r="H33" s="121">
        <v>219</v>
      </c>
      <c r="I33" s="136">
        <f>IF(H33="-","-",ROUND(H33/$R33*100,2))</f>
        <v>0.26</v>
      </c>
      <c r="J33" s="121">
        <v>20</v>
      </c>
      <c r="K33" s="137">
        <f>IF(J33="-","-",ROUND(J33/$R33*100,2))</f>
        <v>0.02</v>
      </c>
      <c r="L33" s="121">
        <v>1</v>
      </c>
      <c r="M33" s="136">
        <f>IF(L33="-","-",ROUND(L33/$R33*100,2))</f>
        <v>0</v>
      </c>
      <c r="N33" s="124" t="s">
        <v>1127</v>
      </c>
      <c r="O33" s="137" t="str">
        <f>IF(N33="-","-",ROUND(N33/$R33*100,2))</f>
        <v>-</v>
      </c>
      <c r="P33" s="121">
        <v>25682</v>
      </c>
      <c r="Q33" s="125">
        <f>IF(P33="-","-",ROUND(P33/$R33*100,2))</f>
        <v>30.98</v>
      </c>
      <c r="R33" s="145">
        <f>SUM(D33,F33,H33,J33,L33,N33,P33)</f>
        <v>82911</v>
      </c>
      <c r="S33" s="559">
        <f>SUM(E33,G33,I33,K33,M33,O33,Q33)</f>
        <v>100.00000000000001</v>
      </c>
    </row>
    <row r="34" spans="1:21" ht="14.25" customHeight="1">
      <c r="A34" s="1242"/>
      <c r="B34" s="1568"/>
      <c r="C34" s="126">
        <v>1991</v>
      </c>
      <c r="D34" s="127">
        <v>60737</v>
      </c>
      <c r="E34" s="128">
        <f>IF(D34="-","-",ROUND(D34/$R34*100,2))</f>
        <v>64.790000000000006</v>
      </c>
      <c r="F34" s="127">
        <v>879</v>
      </c>
      <c r="G34" s="129">
        <f>IF(F34="-","-",ROUND(F34/$R34*100,2))</f>
        <v>0.94</v>
      </c>
      <c r="H34" s="127">
        <v>281</v>
      </c>
      <c r="I34" s="128">
        <f>IF(H34="-","-",ROUND(H34/$R34*100,2))</f>
        <v>0.3</v>
      </c>
      <c r="J34" s="127">
        <v>1</v>
      </c>
      <c r="K34" s="129">
        <f>IF(J34="-","-",ROUND(J34/$R34*100,2))</f>
        <v>0</v>
      </c>
      <c r="L34" s="127">
        <v>4</v>
      </c>
      <c r="M34" s="128">
        <f>IF(L34="-","-",ROUND(L34/$R34*100,2))</f>
        <v>0</v>
      </c>
      <c r="N34" s="130" t="s">
        <v>1127</v>
      </c>
      <c r="O34" s="129" t="str">
        <f>IF(N34="-","-",ROUND(N34/$R34*100,2))</f>
        <v>-</v>
      </c>
      <c r="P34" s="127">
        <v>31846</v>
      </c>
      <c r="Q34" s="131">
        <f>IF(P34="-","-",ROUND(P34/$R34*100,2))</f>
        <v>33.97</v>
      </c>
      <c r="R34" s="144">
        <f>SUM(D34,F34,H34,J34,L34,N34,P34)</f>
        <v>93748</v>
      </c>
      <c r="S34" s="558">
        <f>SUM(E34,G34,I34,K34,M34,O34,Q34)</f>
        <v>100</v>
      </c>
    </row>
    <row r="35" spans="1:21" s="46" customFormat="1" ht="15" customHeight="1">
      <c r="A35" s="1186">
        <v>13</v>
      </c>
      <c r="B35" s="1569" t="s">
        <v>347</v>
      </c>
      <c r="C35" s="120">
        <v>1981</v>
      </c>
      <c r="D35" s="121">
        <v>84653</v>
      </c>
      <c r="E35" s="122">
        <f t="shared" si="7"/>
        <v>90.9</v>
      </c>
      <c r="F35" s="132">
        <v>5407</v>
      </c>
      <c r="G35" s="123">
        <f t="shared" si="0"/>
        <v>5.81</v>
      </c>
      <c r="H35" s="133" t="s">
        <v>1127</v>
      </c>
      <c r="I35" s="122" t="str">
        <f t="shared" si="1"/>
        <v>-</v>
      </c>
      <c r="J35" s="132">
        <v>24</v>
      </c>
      <c r="K35" s="123">
        <f>IF(J35="-","-",ROUND(J35/$R35*100,2))-0.01</f>
        <v>1.9999999999999997E-2</v>
      </c>
      <c r="L35" s="133" t="s">
        <v>1127</v>
      </c>
      <c r="M35" s="122" t="str">
        <f t="shared" si="3"/>
        <v>-</v>
      </c>
      <c r="N35" s="133" t="s">
        <v>1127</v>
      </c>
      <c r="O35" s="123" t="str">
        <f t="shared" si="4"/>
        <v>-</v>
      </c>
      <c r="P35" s="132">
        <v>3045</v>
      </c>
      <c r="Q35" s="134">
        <f t="shared" si="5"/>
        <v>3.27</v>
      </c>
      <c r="R35" s="118">
        <f t="shared" si="8"/>
        <v>93129</v>
      </c>
      <c r="S35" s="557">
        <f t="shared" si="6"/>
        <v>100</v>
      </c>
      <c r="U35" s="47"/>
    </row>
    <row r="36" spans="1:21" s="46" customFormat="1" ht="15" customHeight="1">
      <c r="A36" s="1242"/>
      <c r="B36" s="1568"/>
      <c r="C36" s="126">
        <v>1991</v>
      </c>
      <c r="D36" s="127">
        <v>89741</v>
      </c>
      <c r="E36" s="128">
        <f t="shared" si="7"/>
        <v>80.430000000000007</v>
      </c>
      <c r="F36" s="127">
        <v>8259</v>
      </c>
      <c r="G36" s="129">
        <f t="shared" si="0"/>
        <v>7.4</v>
      </c>
      <c r="H36" s="130" t="s">
        <v>1127</v>
      </c>
      <c r="I36" s="128" t="str">
        <f t="shared" si="1"/>
        <v>-</v>
      </c>
      <c r="J36" s="130" t="s">
        <v>1127</v>
      </c>
      <c r="K36" s="129" t="str">
        <f t="shared" si="2"/>
        <v>-</v>
      </c>
      <c r="L36" s="130" t="s">
        <v>1127</v>
      </c>
      <c r="M36" s="128" t="str">
        <f t="shared" si="3"/>
        <v>-</v>
      </c>
      <c r="N36" s="130" t="s">
        <v>1127</v>
      </c>
      <c r="O36" s="129" t="str">
        <f t="shared" si="4"/>
        <v>-</v>
      </c>
      <c r="P36" s="127">
        <v>13573</v>
      </c>
      <c r="Q36" s="131">
        <f t="shared" si="5"/>
        <v>12.17</v>
      </c>
      <c r="R36" s="144">
        <f t="shared" si="8"/>
        <v>111573</v>
      </c>
      <c r="S36" s="558">
        <f t="shared" si="6"/>
        <v>100.00000000000001</v>
      </c>
      <c r="U36" s="47"/>
    </row>
    <row r="37" spans="1:21" s="46" customFormat="1" ht="15" customHeight="1">
      <c r="A37" s="1186">
        <v>14</v>
      </c>
      <c r="B37" s="1569" t="s">
        <v>369</v>
      </c>
      <c r="C37" s="120">
        <v>1981</v>
      </c>
      <c r="D37" s="121">
        <v>84333</v>
      </c>
      <c r="E37" s="122">
        <f t="shared" si="7"/>
        <v>91.44</v>
      </c>
      <c r="F37" s="132">
        <v>4186</v>
      </c>
      <c r="G37" s="123">
        <f t="shared" si="0"/>
        <v>4.54</v>
      </c>
      <c r="H37" s="132">
        <v>11</v>
      </c>
      <c r="I37" s="122">
        <f t="shared" si="1"/>
        <v>0.01</v>
      </c>
      <c r="J37" s="133" t="s">
        <v>1127</v>
      </c>
      <c r="K37" s="123" t="str">
        <f t="shared" si="2"/>
        <v>-</v>
      </c>
      <c r="L37" s="133" t="s">
        <v>1127</v>
      </c>
      <c r="M37" s="122" t="str">
        <f t="shared" si="3"/>
        <v>-</v>
      </c>
      <c r="N37" s="133" t="s">
        <v>1127</v>
      </c>
      <c r="O37" s="123" t="str">
        <f t="shared" si="4"/>
        <v>-</v>
      </c>
      <c r="P37" s="132">
        <v>3702</v>
      </c>
      <c r="Q37" s="134">
        <f t="shared" si="5"/>
        <v>4.01</v>
      </c>
      <c r="R37" s="118">
        <f t="shared" si="8"/>
        <v>92232</v>
      </c>
      <c r="S37" s="557">
        <f t="shared" si="6"/>
        <v>100.00000000000001</v>
      </c>
      <c r="U37" s="47"/>
    </row>
    <row r="38" spans="1:21" s="46" customFormat="1" ht="15" customHeight="1">
      <c r="A38" s="1242"/>
      <c r="B38" s="1568"/>
      <c r="C38" s="126">
        <v>1991</v>
      </c>
      <c r="D38" s="127">
        <v>91383</v>
      </c>
      <c r="E38" s="128">
        <f t="shared" si="7"/>
        <v>82.1</v>
      </c>
      <c r="F38" s="127">
        <v>6306</v>
      </c>
      <c r="G38" s="129">
        <f t="shared" si="0"/>
        <v>5.67</v>
      </c>
      <c r="H38" s="127">
        <v>15</v>
      </c>
      <c r="I38" s="128">
        <f t="shared" si="1"/>
        <v>0.01</v>
      </c>
      <c r="J38" s="130" t="s">
        <v>1127</v>
      </c>
      <c r="K38" s="129" t="str">
        <f t="shared" si="2"/>
        <v>-</v>
      </c>
      <c r="L38" s="127">
        <v>1</v>
      </c>
      <c r="M38" s="128">
        <f t="shared" si="3"/>
        <v>0</v>
      </c>
      <c r="N38" s="130" t="s">
        <v>1127</v>
      </c>
      <c r="O38" s="129" t="str">
        <f t="shared" si="4"/>
        <v>-</v>
      </c>
      <c r="P38" s="127">
        <v>13603</v>
      </c>
      <c r="Q38" s="131">
        <f t="shared" si="5"/>
        <v>12.22</v>
      </c>
      <c r="R38" s="144">
        <f t="shared" si="8"/>
        <v>111308</v>
      </c>
      <c r="S38" s="558">
        <f t="shared" si="6"/>
        <v>100</v>
      </c>
      <c r="U38" s="47"/>
    </row>
    <row r="39" spans="1:21" s="46" customFormat="1" ht="15" customHeight="1">
      <c r="A39" s="1186">
        <v>15</v>
      </c>
      <c r="B39" s="1569" t="s">
        <v>349</v>
      </c>
      <c r="C39" s="120">
        <v>1981</v>
      </c>
      <c r="D39" s="121">
        <v>72026</v>
      </c>
      <c r="E39" s="122">
        <f t="shared" si="7"/>
        <v>77.53</v>
      </c>
      <c r="F39" s="132">
        <v>945</v>
      </c>
      <c r="G39" s="123">
        <f t="shared" si="0"/>
        <v>1.02</v>
      </c>
      <c r="H39" s="132">
        <v>334</v>
      </c>
      <c r="I39" s="122">
        <f t="shared" si="1"/>
        <v>0.36</v>
      </c>
      <c r="J39" s="132">
        <v>15</v>
      </c>
      <c r="K39" s="123">
        <f t="shared" si="2"/>
        <v>0.02</v>
      </c>
      <c r="L39" s="133" t="s">
        <v>1127</v>
      </c>
      <c r="M39" s="122" t="str">
        <f t="shared" si="3"/>
        <v>-</v>
      </c>
      <c r="N39" s="133" t="s">
        <v>1127</v>
      </c>
      <c r="O39" s="123" t="str">
        <f t="shared" si="4"/>
        <v>-</v>
      </c>
      <c r="P39" s="132">
        <v>19578</v>
      </c>
      <c r="Q39" s="134">
        <f t="shared" si="5"/>
        <v>21.07</v>
      </c>
      <c r="R39" s="118">
        <f t="shared" si="8"/>
        <v>92898</v>
      </c>
      <c r="S39" s="557">
        <f t="shared" si="6"/>
        <v>100</v>
      </c>
      <c r="U39" s="47"/>
    </row>
    <row r="40" spans="1:21" s="46" customFormat="1" ht="15" customHeight="1">
      <c r="A40" s="1242"/>
      <c r="B40" s="1568"/>
      <c r="C40" s="126">
        <v>1991</v>
      </c>
      <c r="D40" s="127">
        <v>165883</v>
      </c>
      <c r="E40" s="128">
        <f>IF(D40="-","-",ROUND(D40/$R40*100,2))+0.01</f>
        <v>76.850000000000009</v>
      </c>
      <c r="F40" s="127">
        <v>1837</v>
      </c>
      <c r="G40" s="129">
        <f t="shared" si="0"/>
        <v>0.85</v>
      </c>
      <c r="H40" s="127">
        <v>1290</v>
      </c>
      <c r="I40" s="128">
        <f t="shared" si="1"/>
        <v>0.6</v>
      </c>
      <c r="J40" s="127">
        <v>8</v>
      </c>
      <c r="K40" s="129">
        <f t="shared" si="2"/>
        <v>0</v>
      </c>
      <c r="L40" s="130" t="s">
        <v>1127</v>
      </c>
      <c r="M40" s="128" t="str">
        <f t="shared" si="3"/>
        <v>-</v>
      </c>
      <c r="N40" s="130" t="s">
        <v>1127</v>
      </c>
      <c r="O40" s="129" t="str">
        <f t="shared" si="4"/>
        <v>-</v>
      </c>
      <c r="P40" s="127">
        <v>46852</v>
      </c>
      <c r="Q40" s="131">
        <f t="shared" si="5"/>
        <v>21.7</v>
      </c>
      <c r="R40" s="144">
        <f t="shared" si="8"/>
        <v>215870</v>
      </c>
      <c r="S40" s="558">
        <f t="shared" si="6"/>
        <v>100</v>
      </c>
      <c r="U40" s="47"/>
    </row>
    <row r="41" spans="1:21" s="46" customFormat="1" ht="15" customHeight="1">
      <c r="A41" s="1186">
        <v>16</v>
      </c>
      <c r="B41" s="1569" t="s">
        <v>370</v>
      </c>
      <c r="C41" s="120">
        <v>1981</v>
      </c>
      <c r="D41" s="121">
        <v>70631</v>
      </c>
      <c r="E41" s="122">
        <f>IF(D41="-","-",ROUND(D41/$R41*100,2))+0.01</f>
        <v>77.050000000000011</v>
      </c>
      <c r="F41" s="132">
        <v>892</v>
      </c>
      <c r="G41" s="123">
        <f t="shared" si="0"/>
        <v>0.97</v>
      </c>
      <c r="H41" s="132">
        <v>785</v>
      </c>
      <c r="I41" s="122">
        <f t="shared" si="1"/>
        <v>0.86</v>
      </c>
      <c r="J41" s="132">
        <v>12</v>
      </c>
      <c r="K41" s="123">
        <f t="shared" si="2"/>
        <v>0.01</v>
      </c>
      <c r="L41" s="133" t="s">
        <v>1127</v>
      </c>
      <c r="M41" s="122" t="str">
        <f t="shared" si="3"/>
        <v>-</v>
      </c>
      <c r="N41" s="133" t="s">
        <v>1127</v>
      </c>
      <c r="O41" s="123" t="str">
        <f t="shared" si="4"/>
        <v>-</v>
      </c>
      <c r="P41" s="132">
        <v>19356</v>
      </c>
      <c r="Q41" s="134">
        <f t="shared" si="5"/>
        <v>21.11</v>
      </c>
      <c r="R41" s="118">
        <f t="shared" si="8"/>
        <v>91676</v>
      </c>
      <c r="S41" s="557">
        <f t="shared" si="6"/>
        <v>100.00000000000001</v>
      </c>
      <c r="U41" s="47"/>
    </row>
    <row r="42" spans="1:21" s="46" customFormat="1" ht="15" customHeight="1">
      <c r="A42" s="1242"/>
      <c r="B42" s="1568"/>
      <c r="C42" s="126" t="s">
        <v>1389</v>
      </c>
      <c r="D42" s="127"/>
      <c r="E42" s="128"/>
      <c r="F42" s="127"/>
      <c r="G42" s="129"/>
      <c r="H42" s="127"/>
      <c r="I42" s="128"/>
      <c r="J42" s="127"/>
      <c r="K42" s="129"/>
      <c r="L42" s="127"/>
      <c r="M42" s="128"/>
      <c r="N42" s="130"/>
      <c r="O42" s="129"/>
      <c r="P42" s="127"/>
      <c r="Q42" s="131"/>
      <c r="R42" s="144"/>
      <c r="S42" s="558"/>
      <c r="U42" s="47"/>
    </row>
    <row r="43" spans="1:21" s="46" customFormat="1" ht="15" customHeight="1">
      <c r="A43" s="1186">
        <v>17</v>
      </c>
      <c r="B43" s="1569" t="s">
        <v>350</v>
      </c>
      <c r="C43" s="120">
        <v>1981</v>
      </c>
      <c r="D43" s="121">
        <v>82745</v>
      </c>
      <c r="E43" s="122">
        <f t="shared" si="7"/>
        <v>87.91</v>
      </c>
      <c r="F43" s="132">
        <v>10264</v>
      </c>
      <c r="G43" s="123">
        <f t="shared" si="0"/>
        <v>10.9</v>
      </c>
      <c r="H43" s="132">
        <v>241</v>
      </c>
      <c r="I43" s="122">
        <f t="shared" si="1"/>
        <v>0.26</v>
      </c>
      <c r="J43" s="132">
        <v>40</v>
      </c>
      <c r="K43" s="123">
        <f t="shared" si="2"/>
        <v>0.04</v>
      </c>
      <c r="L43" s="133" t="s">
        <v>1127</v>
      </c>
      <c r="M43" s="122" t="str">
        <f t="shared" si="3"/>
        <v>-</v>
      </c>
      <c r="N43" s="133" t="s">
        <v>1127</v>
      </c>
      <c r="O43" s="123" t="str">
        <f t="shared" si="4"/>
        <v>-</v>
      </c>
      <c r="P43" s="132">
        <v>833</v>
      </c>
      <c r="Q43" s="134">
        <f t="shared" si="5"/>
        <v>0.89</v>
      </c>
      <c r="R43" s="118">
        <f t="shared" si="8"/>
        <v>94123</v>
      </c>
      <c r="S43" s="557">
        <f t="shared" si="6"/>
        <v>100.00000000000001</v>
      </c>
      <c r="U43" s="47"/>
    </row>
    <row r="44" spans="1:21" s="46" customFormat="1" ht="15" customHeight="1">
      <c r="A44" s="1242"/>
      <c r="B44" s="1568"/>
      <c r="C44" s="126">
        <v>1991</v>
      </c>
      <c r="D44" s="127">
        <v>97054</v>
      </c>
      <c r="E44" s="128">
        <f>IF(D44="-","-",ROUND(D44/$R44*100,2))+0.01</f>
        <v>84.2</v>
      </c>
      <c r="F44" s="127">
        <v>16525</v>
      </c>
      <c r="G44" s="129">
        <f t="shared" si="0"/>
        <v>14.33</v>
      </c>
      <c r="H44" s="127">
        <v>37</v>
      </c>
      <c r="I44" s="128">
        <f t="shared" si="1"/>
        <v>0.03</v>
      </c>
      <c r="J44" s="127">
        <v>5</v>
      </c>
      <c r="K44" s="129">
        <f t="shared" si="2"/>
        <v>0</v>
      </c>
      <c r="L44" s="127">
        <v>4</v>
      </c>
      <c r="M44" s="128">
        <f t="shared" si="3"/>
        <v>0</v>
      </c>
      <c r="N44" s="130" t="s">
        <v>1127</v>
      </c>
      <c r="O44" s="129" t="str">
        <f t="shared" si="4"/>
        <v>-</v>
      </c>
      <c r="P44" s="127">
        <v>1661</v>
      </c>
      <c r="Q44" s="131">
        <f t="shared" si="5"/>
        <v>1.44</v>
      </c>
      <c r="R44" s="144">
        <f t="shared" si="8"/>
        <v>115286</v>
      </c>
      <c r="S44" s="558">
        <f t="shared" si="6"/>
        <v>100</v>
      </c>
      <c r="U44" s="47"/>
    </row>
    <row r="45" spans="1:21" s="46" customFormat="1" ht="15" customHeight="1">
      <c r="A45" s="1186">
        <v>18</v>
      </c>
      <c r="B45" s="1569" t="s">
        <v>351</v>
      </c>
      <c r="C45" s="120">
        <v>1981</v>
      </c>
      <c r="D45" s="121">
        <v>91677</v>
      </c>
      <c r="E45" s="122">
        <f>IF(D45="-","-",ROUND(D45/$R45*100,2))-0.01</f>
        <v>89.49</v>
      </c>
      <c r="F45" s="132">
        <v>10639</v>
      </c>
      <c r="G45" s="123">
        <f t="shared" si="0"/>
        <v>10.39</v>
      </c>
      <c r="H45" s="132">
        <v>11</v>
      </c>
      <c r="I45" s="122">
        <f t="shared" si="1"/>
        <v>0.01</v>
      </c>
      <c r="J45" s="133" t="s">
        <v>1127</v>
      </c>
      <c r="K45" s="123" t="str">
        <f t="shared" si="2"/>
        <v>-</v>
      </c>
      <c r="L45" s="133" t="s">
        <v>1127</v>
      </c>
      <c r="M45" s="122" t="str">
        <f t="shared" si="3"/>
        <v>-</v>
      </c>
      <c r="N45" s="133" t="s">
        <v>1127</v>
      </c>
      <c r="O45" s="123" t="str">
        <f t="shared" si="4"/>
        <v>-</v>
      </c>
      <c r="P45" s="132">
        <v>108</v>
      </c>
      <c r="Q45" s="134">
        <f t="shared" si="5"/>
        <v>0.11</v>
      </c>
      <c r="R45" s="118">
        <f t="shared" si="8"/>
        <v>102435</v>
      </c>
      <c r="S45" s="557">
        <f t="shared" si="6"/>
        <v>100</v>
      </c>
      <c r="U45" s="47"/>
    </row>
    <row r="46" spans="1:21" s="46" customFormat="1" ht="15" customHeight="1">
      <c r="A46" s="1242"/>
      <c r="B46" s="1568"/>
      <c r="C46" s="126">
        <v>1991</v>
      </c>
      <c r="D46" s="127">
        <v>106543</v>
      </c>
      <c r="E46" s="128">
        <f t="shared" si="7"/>
        <v>87.27</v>
      </c>
      <c r="F46" s="127">
        <v>15099</v>
      </c>
      <c r="G46" s="129">
        <f t="shared" si="0"/>
        <v>12.37</v>
      </c>
      <c r="H46" s="130" t="s">
        <v>1127</v>
      </c>
      <c r="I46" s="128" t="str">
        <f t="shared" si="1"/>
        <v>-</v>
      </c>
      <c r="J46" s="130" t="s">
        <v>1127</v>
      </c>
      <c r="K46" s="129" t="str">
        <f t="shared" si="2"/>
        <v>-</v>
      </c>
      <c r="L46" s="130" t="s">
        <v>1127</v>
      </c>
      <c r="M46" s="128" t="str">
        <f t="shared" si="3"/>
        <v>-</v>
      </c>
      <c r="N46" s="130" t="s">
        <v>1127</v>
      </c>
      <c r="O46" s="129" t="str">
        <f t="shared" si="4"/>
        <v>-</v>
      </c>
      <c r="P46" s="127">
        <v>440</v>
      </c>
      <c r="Q46" s="131">
        <f t="shared" si="5"/>
        <v>0.36</v>
      </c>
      <c r="R46" s="144">
        <f t="shared" si="8"/>
        <v>122082</v>
      </c>
      <c r="S46" s="558">
        <f t="shared" si="6"/>
        <v>100</v>
      </c>
      <c r="U46" s="47"/>
    </row>
    <row r="47" spans="1:21" s="46" customFormat="1" ht="15" customHeight="1">
      <c r="A47" s="1186">
        <v>19</v>
      </c>
      <c r="B47" s="1569" t="s">
        <v>352</v>
      </c>
      <c r="C47" s="120">
        <v>1981</v>
      </c>
      <c r="D47" s="121">
        <v>105017</v>
      </c>
      <c r="E47" s="122">
        <f t="shared" si="7"/>
        <v>87.04</v>
      </c>
      <c r="F47" s="132">
        <v>15016</v>
      </c>
      <c r="G47" s="123">
        <f t="shared" si="0"/>
        <v>12.45</v>
      </c>
      <c r="H47" s="132">
        <v>230</v>
      </c>
      <c r="I47" s="122">
        <f t="shared" si="1"/>
        <v>0.19</v>
      </c>
      <c r="J47" s="133" t="s">
        <v>1127</v>
      </c>
      <c r="K47" s="123" t="str">
        <f t="shared" si="2"/>
        <v>-</v>
      </c>
      <c r="L47" s="133" t="s">
        <v>1127</v>
      </c>
      <c r="M47" s="122" t="str">
        <f t="shared" si="3"/>
        <v>-</v>
      </c>
      <c r="N47" s="133" t="s">
        <v>1127</v>
      </c>
      <c r="O47" s="123" t="str">
        <f t="shared" si="4"/>
        <v>-</v>
      </c>
      <c r="P47" s="132">
        <v>389</v>
      </c>
      <c r="Q47" s="134">
        <f t="shared" si="5"/>
        <v>0.32</v>
      </c>
      <c r="R47" s="118">
        <f t="shared" si="8"/>
        <v>120652</v>
      </c>
      <c r="S47" s="557">
        <f t="shared" si="6"/>
        <v>100</v>
      </c>
      <c r="U47" s="47"/>
    </row>
    <row r="48" spans="1:21" s="46" customFormat="1" ht="15" customHeight="1">
      <c r="A48" s="1242"/>
      <c r="B48" s="1568"/>
      <c r="C48" s="126">
        <v>1991</v>
      </c>
      <c r="D48" s="127">
        <v>122873</v>
      </c>
      <c r="E48" s="128">
        <f t="shared" si="7"/>
        <v>85.02</v>
      </c>
      <c r="F48" s="127">
        <v>21410</v>
      </c>
      <c r="G48" s="129">
        <f t="shared" si="0"/>
        <v>14.81</v>
      </c>
      <c r="H48" s="127">
        <v>2</v>
      </c>
      <c r="I48" s="128">
        <f t="shared" si="1"/>
        <v>0</v>
      </c>
      <c r="J48" s="130" t="s">
        <v>1127</v>
      </c>
      <c r="K48" s="129" t="str">
        <f t="shared" si="2"/>
        <v>-</v>
      </c>
      <c r="L48" s="130" t="s">
        <v>1127</v>
      </c>
      <c r="M48" s="128" t="str">
        <f t="shared" si="3"/>
        <v>-</v>
      </c>
      <c r="N48" s="130" t="s">
        <v>1127</v>
      </c>
      <c r="O48" s="129" t="str">
        <f t="shared" si="4"/>
        <v>-</v>
      </c>
      <c r="P48" s="127">
        <v>243</v>
      </c>
      <c r="Q48" s="131">
        <f t="shared" si="5"/>
        <v>0.17</v>
      </c>
      <c r="R48" s="144">
        <f t="shared" si="8"/>
        <v>144528</v>
      </c>
      <c r="S48" s="558">
        <f t="shared" si="6"/>
        <v>100</v>
      </c>
      <c r="U48" s="47"/>
    </row>
    <row r="49" spans="1:21" s="46" customFormat="1" ht="15" customHeight="1">
      <c r="A49" s="1186">
        <v>20</v>
      </c>
      <c r="B49" s="1569" t="s">
        <v>353</v>
      </c>
      <c r="C49" s="120">
        <v>1981</v>
      </c>
      <c r="D49" s="121">
        <v>92483</v>
      </c>
      <c r="E49" s="122">
        <f t="shared" si="7"/>
        <v>89.56</v>
      </c>
      <c r="F49" s="132">
        <v>10572</v>
      </c>
      <c r="G49" s="123">
        <f t="shared" si="0"/>
        <v>10.24</v>
      </c>
      <c r="H49" s="133" t="s">
        <v>1127</v>
      </c>
      <c r="I49" s="122" t="str">
        <f t="shared" si="1"/>
        <v>-</v>
      </c>
      <c r="J49" s="132">
        <v>32</v>
      </c>
      <c r="K49" s="123">
        <f t="shared" si="2"/>
        <v>0.03</v>
      </c>
      <c r="L49" s="133" t="s">
        <v>1127</v>
      </c>
      <c r="M49" s="122" t="str">
        <f t="shared" si="3"/>
        <v>-</v>
      </c>
      <c r="N49" s="133" t="s">
        <v>1127</v>
      </c>
      <c r="O49" s="123" t="str">
        <f t="shared" si="4"/>
        <v>-</v>
      </c>
      <c r="P49" s="132">
        <v>179</v>
      </c>
      <c r="Q49" s="134">
        <f t="shared" si="5"/>
        <v>0.17</v>
      </c>
      <c r="R49" s="118">
        <f t="shared" si="8"/>
        <v>103266</v>
      </c>
      <c r="S49" s="557">
        <f t="shared" si="6"/>
        <v>100</v>
      </c>
      <c r="U49" s="47"/>
    </row>
    <row r="50" spans="1:21" s="46" customFormat="1" ht="15" customHeight="1">
      <c r="A50" s="1242"/>
      <c r="B50" s="1568"/>
      <c r="C50" s="126">
        <v>1991</v>
      </c>
      <c r="D50" s="127">
        <v>109295</v>
      </c>
      <c r="E50" s="128">
        <f t="shared" si="7"/>
        <v>88.38</v>
      </c>
      <c r="F50" s="127">
        <v>13920</v>
      </c>
      <c r="G50" s="129">
        <f t="shared" si="0"/>
        <v>11.26</v>
      </c>
      <c r="H50" s="130" t="s">
        <v>1127</v>
      </c>
      <c r="I50" s="128" t="str">
        <f t="shared" si="1"/>
        <v>-</v>
      </c>
      <c r="J50" s="130" t="s">
        <v>1127</v>
      </c>
      <c r="K50" s="129" t="str">
        <f t="shared" si="2"/>
        <v>-</v>
      </c>
      <c r="L50" s="130" t="s">
        <v>1127</v>
      </c>
      <c r="M50" s="128" t="str">
        <f t="shared" si="3"/>
        <v>-</v>
      </c>
      <c r="N50" s="130" t="s">
        <v>1127</v>
      </c>
      <c r="O50" s="129" t="str">
        <f t="shared" si="4"/>
        <v>-</v>
      </c>
      <c r="P50" s="127">
        <v>450</v>
      </c>
      <c r="Q50" s="131">
        <f t="shared" si="5"/>
        <v>0.36</v>
      </c>
      <c r="R50" s="144">
        <f t="shared" si="8"/>
        <v>123665</v>
      </c>
      <c r="S50" s="558">
        <f t="shared" si="6"/>
        <v>100</v>
      </c>
      <c r="U50" s="47"/>
    </row>
    <row r="51" spans="1:21" s="46" customFormat="1" ht="15" customHeight="1">
      <c r="A51" s="1186">
        <v>21</v>
      </c>
      <c r="B51" s="1569" t="s">
        <v>354</v>
      </c>
      <c r="C51" s="120">
        <v>1981</v>
      </c>
      <c r="D51" s="121">
        <v>102062</v>
      </c>
      <c r="E51" s="122">
        <f>IF(D51="-","-",ROUND(D51/$R51*100,2))-0.01</f>
        <v>88.16</v>
      </c>
      <c r="F51" s="132">
        <v>13484</v>
      </c>
      <c r="G51" s="123">
        <f t="shared" si="0"/>
        <v>11.65</v>
      </c>
      <c r="H51" s="132">
        <v>7</v>
      </c>
      <c r="I51" s="122">
        <f t="shared" si="1"/>
        <v>0.01</v>
      </c>
      <c r="J51" s="133" t="s">
        <v>1127</v>
      </c>
      <c r="K51" s="123" t="str">
        <f t="shared" si="2"/>
        <v>-</v>
      </c>
      <c r="L51" s="133" t="s">
        <v>1127</v>
      </c>
      <c r="M51" s="122" t="str">
        <f t="shared" si="3"/>
        <v>-</v>
      </c>
      <c r="N51" s="133" t="s">
        <v>1127</v>
      </c>
      <c r="O51" s="123" t="str">
        <f t="shared" si="4"/>
        <v>-</v>
      </c>
      <c r="P51" s="132">
        <v>205</v>
      </c>
      <c r="Q51" s="134">
        <f t="shared" si="5"/>
        <v>0.18</v>
      </c>
      <c r="R51" s="118">
        <f t="shared" si="8"/>
        <v>115758</v>
      </c>
      <c r="S51" s="557">
        <f t="shared" si="6"/>
        <v>100.00000000000001</v>
      </c>
      <c r="U51" s="47"/>
    </row>
    <row r="52" spans="1:21" s="46" customFormat="1" ht="15" customHeight="1">
      <c r="A52" s="1242"/>
      <c r="B52" s="1568"/>
      <c r="C52" s="126">
        <v>1991</v>
      </c>
      <c r="D52" s="127">
        <v>123012</v>
      </c>
      <c r="E52" s="128">
        <f>IF(D52="-","-",ROUND(D52/$R52*100,2))+0.01</f>
        <v>87.5</v>
      </c>
      <c r="F52" s="127">
        <v>17056</v>
      </c>
      <c r="G52" s="129">
        <f t="shared" si="0"/>
        <v>12.13</v>
      </c>
      <c r="H52" s="127">
        <v>7</v>
      </c>
      <c r="I52" s="128">
        <f t="shared" si="1"/>
        <v>0</v>
      </c>
      <c r="J52" s="130" t="s">
        <v>1127</v>
      </c>
      <c r="K52" s="129" t="str">
        <f t="shared" si="2"/>
        <v>-</v>
      </c>
      <c r="L52" s="130" t="s">
        <v>1127</v>
      </c>
      <c r="M52" s="128" t="str">
        <f t="shared" si="3"/>
        <v>-</v>
      </c>
      <c r="N52" s="130" t="s">
        <v>1127</v>
      </c>
      <c r="O52" s="129" t="str">
        <f t="shared" si="4"/>
        <v>-</v>
      </c>
      <c r="P52" s="127">
        <v>525</v>
      </c>
      <c r="Q52" s="131">
        <f t="shared" si="5"/>
        <v>0.37</v>
      </c>
      <c r="R52" s="144">
        <f t="shared" si="8"/>
        <v>140600</v>
      </c>
      <c r="S52" s="558">
        <f t="shared" si="6"/>
        <v>100</v>
      </c>
      <c r="U52" s="47"/>
    </row>
    <row r="53" spans="1:21" s="46" customFormat="1" ht="15" customHeight="1">
      <c r="A53" s="1188">
        <v>22</v>
      </c>
      <c r="B53" s="1572" t="s">
        <v>479</v>
      </c>
      <c r="C53" s="119">
        <v>1981</v>
      </c>
      <c r="D53" s="132">
        <v>95193</v>
      </c>
      <c r="E53" s="122">
        <f t="shared" si="7"/>
        <v>84.54</v>
      </c>
      <c r="F53" s="132">
        <v>17230</v>
      </c>
      <c r="G53" s="123">
        <f t="shared" si="0"/>
        <v>15.3</v>
      </c>
      <c r="H53" s="132">
        <v>160</v>
      </c>
      <c r="I53" s="122">
        <f t="shared" si="1"/>
        <v>0.14000000000000001</v>
      </c>
      <c r="J53" s="133" t="s">
        <v>1127</v>
      </c>
      <c r="K53" s="123" t="str">
        <f t="shared" si="2"/>
        <v>-</v>
      </c>
      <c r="L53" s="133" t="s">
        <v>1127</v>
      </c>
      <c r="M53" s="122" t="str">
        <f t="shared" si="3"/>
        <v>-</v>
      </c>
      <c r="N53" s="133" t="s">
        <v>1127</v>
      </c>
      <c r="O53" s="123" t="str">
        <f t="shared" si="4"/>
        <v>-</v>
      </c>
      <c r="P53" s="132">
        <v>23</v>
      </c>
      <c r="Q53" s="134">
        <f t="shared" si="5"/>
        <v>0.02</v>
      </c>
      <c r="R53" s="118">
        <f t="shared" si="8"/>
        <v>112606</v>
      </c>
      <c r="S53" s="557">
        <f t="shared" si="6"/>
        <v>100</v>
      </c>
      <c r="U53" s="47"/>
    </row>
    <row r="54" spans="1:21" s="46" customFormat="1" ht="15" customHeight="1">
      <c r="A54" s="1242"/>
      <c r="B54" s="1568"/>
      <c r="C54" s="126">
        <v>1991</v>
      </c>
      <c r="D54" s="127">
        <v>109881</v>
      </c>
      <c r="E54" s="128">
        <f t="shared" si="7"/>
        <v>83.03</v>
      </c>
      <c r="F54" s="127">
        <v>22328</v>
      </c>
      <c r="G54" s="129">
        <f t="shared" si="0"/>
        <v>16.87</v>
      </c>
      <c r="H54" s="127">
        <v>2</v>
      </c>
      <c r="I54" s="128">
        <f t="shared" si="1"/>
        <v>0</v>
      </c>
      <c r="J54" s="130" t="s">
        <v>1127</v>
      </c>
      <c r="K54" s="129" t="str">
        <f t="shared" si="2"/>
        <v>-</v>
      </c>
      <c r="L54" s="130" t="s">
        <v>1127</v>
      </c>
      <c r="M54" s="128" t="str">
        <f t="shared" si="3"/>
        <v>-</v>
      </c>
      <c r="N54" s="130" t="s">
        <v>1127</v>
      </c>
      <c r="O54" s="129" t="str">
        <f t="shared" si="4"/>
        <v>-</v>
      </c>
      <c r="P54" s="127">
        <v>133</v>
      </c>
      <c r="Q54" s="131">
        <f t="shared" si="5"/>
        <v>0.1</v>
      </c>
      <c r="R54" s="144">
        <f t="shared" si="8"/>
        <v>132344</v>
      </c>
      <c r="S54" s="558">
        <f t="shared" si="6"/>
        <v>100</v>
      </c>
      <c r="U54" s="47"/>
    </row>
    <row r="55" spans="1:21">
      <c r="A55" s="1438" t="s">
        <v>361</v>
      </c>
      <c r="B55" s="1438"/>
      <c r="C55" s="1438"/>
      <c r="D55" s="1438"/>
      <c r="E55" s="1438"/>
      <c r="F55" s="1438"/>
      <c r="G55" s="1438"/>
      <c r="I55" s="51"/>
      <c r="J55" s="51"/>
      <c r="K55" s="51"/>
      <c r="L55" s="51"/>
      <c r="M55" s="51"/>
      <c r="N55" s="51"/>
      <c r="O55" s="1571" t="s">
        <v>392</v>
      </c>
      <c r="P55" s="1571"/>
      <c r="Q55" s="1571"/>
      <c r="R55" s="1571"/>
      <c r="S55" s="1571"/>
    </row>
    <row r="56" spans="1:21">
      <c r="A56" s="1575"/>
      <c r="B56" s="1575"/>
      <c r="C56" s="1575"/>
      <c r="D56" s="1575"/>
      <c r="E56" s="1575"/>
      <c r="F56" s="1575"/>
      <c r="G56" s="1575"/>
      <c r="I56" s="170"/>
      <c r="J56" s="170"/>
    </row>
    <row r="57" spans="1:21">
      <c r="A57" s="651" t="s">
        <v>850</v>
      </c>
      <c r="B57" s="651"/>
      <c r="C57" s="651"/>
      <c r="D57" s="651"/>
      <c r="E57" s="651"/>
      <c r="F57" s="651"/>
      <c r="G57" s="651"/>
    </row>
    <row r="60" spans="1:21">
      <c r="B60" s="172"/>
    </row>
    <row r="61" spans="1:21">
      <c r="B61" s="172"/>
    </row>
    <row r="62" spans="1:21">
      <c r="B62" s="172"/>
    </row>
    <row r="63" spans="1:21">
      <c r="B63" s="172"/>
    </row>
    <row r="64" spans="1:21">
      <c r="B64" s="172"/>
    </row>
    <row r="65" spans="2:2">
      <c r="B65" s="172"/>
    </row>
    <row r="66" spans="2:2">
      <c r="B66" s="172"/>
    </row>
    <row r="67" spans="2:2">
      <c r="B67" s="172"/>
    </row>
    <row r="68" spans="2:2">
      <c r="B68" s="170"/>
    </row>
    <row r="69" spans="2:2">
      <c r="B69" s="170"/>
    </row>
    <row r="70" spans="2:2">
      <c r="B70" s="172"/>
    </row>
    <row r="71" spans="2:2">
      <c r="B71" s="172"/>
    </row>
    <row r="72" spans="2:2">
      <c r="B72" s="172"/>
    </row>
    <row r="73" spans="2:2">
      <c r="B73" s="172"/>
    </row>
    <row r="74" spans="2:2">
      <c r="B74" s="172"/>
    </row>
    <row r="75" spans="2:2">
      <c r="B75" s="172"/>
    </row>
    <row r="76" spans="2:2">
      <c r="B76" s="177"/>
    </row>
  </sheetData>
  <mergeCells count="71">
    <mergeCell ref="A1:S1"/>
    <mergeCell ref="R30:S30"/>
    <mergeCell ref="H30:I30"/>
    <mergeCell ref="J30:K30"/>
    <mergeCell ref="N30:O30"/>
    <mergeCell ref="A14:A15"/>
    <mergeCell ref="A16:A17"/>
    <mergeCell ref="A18:A19"/>
    <mergeCell ref="B14:B15"/>
    <mergeCell ref="D30:E30"/>
    <mergeCell ref="H3:I3"/>
    <mergeCell ref="A24:A25"/>
    <mergeCell ref="A26:A27"/>
    <mergeCell ref="A30:A31"/>
    <mergeCell ref="B22:B23"/>
    <mergeCell ref="B30:B31"/>
    <mergeCell ref="O55:S55"/>
    <mergeCell ref="A2:S2"/>
    <mergeCell ref="A3:A4"/>
    <mergeCell ref="N3:O3"/>
    <mergeCell ref="L30:M30"/>
    <mergeCell ref="L3:M3"/>
    <mergeCell ref="P3:Q3"/>
    <mergeCell ref="R3:S3"/>
    <mergeCell ref="P30:Q30"/>
    <mergeCell ref="J3:K3"/>
    <mergeCell ref="B16:B17"/>
    <mergeCell ref="B18:B19"/>
    <mergeCell ref="D3:E3"/>
    <mergeCell ref="B10:B11"/>
    <mergeCell ref="B8:B9"/>
    <mergeCell ref="B12:B13"/>
    <mergeCell ref="A55:G56"/>
    <mergeCell ref="F30:G30"/>
    <mergeCell ref="F3:G3"/>
    <mergeCell ref="A6:A7"/>
    <mergeCell ref="B3:B4"/>
    <mergeCell ref="C3:C4"/>
    <mergeCell ref="B6:B7"/>
    <mergeCell ref="A12:A13"/>
    <mergeCell ref="A8:A9"/>
    <mergeCell ref="B43:B44"/>
    <mergeCell ref="B41:B42"/>
    <mergeCell ref="B24:B25"/>
    <mergeCell ref="A10:A11"/>
    <mergeCell ref="A39:A40"/>
    <mergeCell ref="A20:A21"/>
    <mergeCell ref="A22:A23"/>
    <mergeCell ref="B35:B36"/>
    <mergeCell ref="A53:A54"/>
    <mergeCell ref="B53:B54"/>
    <mergeCell ref="B51:B52"/>
    <mergeCell ref="B49:B50"/>
    <mergeCell ref="A51:A52"/>
    <mergeCell ref="A49:A50"/>
    <mergeCell ref="B20:B21"/>
    <mergeCell ref="A29:S29"/>
    <mergeCell ref="C30:C31"/>
    <mergeCell ref="B26:B27"/>
    <mergeCell ref="A47:A48"/>
    <mergeCell ref="B47:B48"/>
    <mergeCell ref="B45:B46"/>
    <mergeCell ref="A33:A34"/>
    <mergeCell ref="A35:A36"/>
    <mergeCell ref="A37:A38"/>
    <mergeCell ref="A41:A42"/>
    <mergeCell ref="A43:A44"/>
    <mergeCell ref="A45:A46"/>
    <mergeCell ref="B33:B34"/>
    <mergeCell ref="B39:B40"/>
    <mergeCell ref="B37:B38"/>
  </mergeCells>
  <phoneticPr fontId="0" type="noConversion"/>
  <printOptions horizontalCentered="1" verticalCentered="1"/>
  <pageMargins left="0.1" right="0.1" top="0.1" bottom="0.1" header="0.7" footer="0.1"/>
  <pageSetup paperSize="9" orientation="landscape" horizontalDpi="4294967295" r:id="rId1"/>
  <headerFooter alignWithMargins="0"/>
  <rowBreaks count="1" manualBreakCount="1">
    <brk id="28" max="16383" man="1"/>
  </rowBreaks>
</worksheet>
</file>

<file path=xl/worksheets/sheet81.xml><?xml version="1.0" encoding="utf-8"?>
<worksheet xmlns="http://schemas.openxmlformats.org/spreadsheetml/2006/main" xmlns:r="http://schemas.openxmlformats.org/officeDocument/2006/relationships">
  <sheetPr codeName="Sheet98"/>
  <dimension ref="A1:G35"/>
  <sheetViews>
    <sheetView topLeftCell="A16" workbookViewId="0">
      <selection activeCell="L7" sqref="L7"/>
    </sheetView>
  </sheetViews>
  <sheetFormatPr defaultRowHeight="12.75"/>
  <cols>
    <col min="1" max="1" width="4.5703125" style="172" customWidth="1"/>
    <col min="2" max="2" width="15.42578125" style="172" customWidth="1"/>
    <col min="3" max="5" width="13" style="172" customWidth="1"/>
    <col min="6" max="6" width="14.28515625" style="172" customWidth="1"/>
    <col min="7" max="7" width="15" style="172" customWidth="1"/>
    <col min="8" max="16384" width="9.140625" style="172"/>
  </cols>
  <sheetData>
    <row r="1" spans="1:7" ht="18.75" customHeight="1">
      <c r="A1" s="1181" t="s">
        <v>1552</v>
      </c>
      <c r="B1" s="1181"/>
      <c r="C1" s="1181"/>
      <c r="D1" s="1181"/>
      <c r="E1" s="1181"/>
      <c r="F1" s="1181"/>
      <c r="G1" s="1181"/>
    </row>
    <row r="2" spans="1:7" s="266" customFormat="1" ht="35.25" customHeight="1">
      <c r="A2" s="1463" t="str">
        <f>CONCATENATE("Persons Engaged in Agriculture
 in the Blocks of ", District!$A$1, " for the year ",District!B3)</f>
        <v>Persons Engaged in Agriculture
 in the Blocks of Bankura for the year 2013-14</v>
      </c>
      <c r="B2" s="1463"/>
      <c r="C2" s="1463"/>
      <c r="D2" s="1463"/>
      <c r="E2" s="1463"/>
      <c r="F2" s="1463"/>
      <c r="G2" s="1463"/>
    </row>
    <row r="3" spans="1:7" s="266" customFormat="1" ht="14.25" customHeight="1">
      <c r="B3" s="349"/>
      <c r="C3" s="349"/>
      <c r="D3" s="349"/>
      <c r="E3" s="349"/>
      <c r="F3" s="349"/>
      <c r="G3" s="114" t="s">
        <v>1494</v>
      </c>
    </row>
    <row r="4" spans="1:7" s="266" customFormat="1" ht="17.25" customHeight="1">
      <c r="A4" s="1194" t="s">
        <v>494</v>
      </c>
      <c r="B4" s="1194" t="s">
        <v>1621</v>
      </c>
      <c r="C4" s="1196" t="s">
        <v>1496</v>
      </c>
      <c r="D4" s="1194" t="s">
        <v>1534</v>
      </c>
      <c r="E4" s="1194" t="s">
        <v>1422</v>
      </c>
      <c r="F4" s="1194" t="s">
        <v>1423</v>
      </c>
      <c r="G4" s="1194" t="s">
        <v>2</v>
      </c>
    </row>
    <row r="5" spans="1:7" s="266" customFormat="1" ht="17.25" customHeight="1">
      <c r="A5" s="1195"/>
      <c r="B5" s="1197"/>
      <c r="C5" s="1197"/>
      <c r="D5" s="1195"/>
      <c r="E5" s="1195"/>
      <c r="F5" s="1195"/>
      <c r="G5" s="1195"/>
    </row>
    <row r="6" spans="1:7" s="266" customFormat="1" ht="18" customHeight="1">
      <c r="A6" s="213" t="s">
        <v>418</v>
      </c>
      <c r="B6" s="213" t="s">
        <v>419</v>
      </c>
      <c r="C6" s="222" t="s">
        <v>420</v>
      </c>
      <c r="D6" s="213" t="s">
        <v>421</v>
      </c>
      <c r="E6" s="222" t="s">
        <v>422</v>
      </c>
      <c r="F6" s="213" t="s">
        <v>423</v>
      </c>
      <c r="G6" s="214" t="s">
        <v>424</v>
      </c>
    </row>
    <row r="7" spans="1:7" s="266" customFormat="1" ht="24.75" customHeight="1">
      <c r="A7" s="33">
        <v>1</v>
      </c>
      <c r="B7" s="74" t="s">
        <v>596</v>
      </c>
      <c r="C7" s="189">
        <v>2429</v>
      </c>
      <c r="D7" s="183">
        <v>3961</v>
      </c>
      <c r="E7" s="189">
        <v>5294</v>
      </c>
      <c r="F7" s="183">
        <v>15158</v>
      </c>
      <c r="G7" s="184">
        <v>11751</v>
      </c>
    </row>
    <row r="8" spans="1:7" s="266" customFormat="1" ht="24.75" customHeight="1">
      <c r="A8" s="33">
        <v>2</v>
      </c>
      <c r="B8" s="74" t="s">
        <v>595</v>
      </c>
      <c r="C8" s="189">
        <v>3430</v>
      </c>
      <c r="D8" s="183">
        <v>2972</v>
      </c>
      <c r="E8" s="189">
        <v>3146</v>
      </c>
      <c r="F8" s="183">
        <v>8105</v>
      </c>
      <c r="G8" s="184">
        <v>13578</v>
      </c>
    </row>
    <row r="9" spans="1:7" s="266" customFormat="1" ht="24.75" customHeight="1">
      <c r="A9" s="33">
        <v>3</v>
      </c>
      <c r="B9" s="74" t="s">
        <v>597</v>
      </c>
      <c r="C9" s="189">
        <v>6490</v>
      </c>
      <c r="D9" s="183">
        <v>7213</v>
      </c>
      <c r="E9" s="189">
        <v>4217</v>
      </c>
      <c r="F9" s="183">
        <v>13052</v>
      </c>
      <c r="G9" s="184">
        <v>32500</v>
      </c>
    </row>
    <row r="10" spans="1:7" s="266" customFormat="1" ht="24.75" customHeight="1">
      <c r="A10" s="33">
        <v>4</v>
      </c>
      <c r="B10" s="74" t="s">
        <v>598</v>
      </c>
      <c r="C10" s="189">
        <v>2757</v>
      </c>
      <c r="D10" s="183">
        <v>6579</v>
      </c>
      <c r="E10" s="189">
        <v>2480</v>
      </c>
      <c r="F10" s="183">
        <v>6860</v>
      </c>
      <c r="G10" s="184">
        <v>19252</v>
      </c>
    </row>
    <row r="11" spans="1:7" s="266" customFormat="1" ht="24.75" customHeight="1">
      <c r="A11" s="33">
        <v>5</v>
      </c>
      <c r="B11" s="74" t="s">
        <v>599</v>
      </c>
      <c r="C11" s="189">
        <v>1825</v>
      </c>
      <c r="D11" s="183">
        <v>4394</v>
      </c>
      <c r="E11" s="189">
        <v>1030</v>
      </c>
      <c r="F11" s="183">
        <v>6425</v>
      </c>
      <c r="G11" s="184">
        <v>8127</v>
      </c>
    </row>
    <row r="12" spans="1:7" s="266" customFormat="1" ht="24.75" customHeight="1">
      <c r="A12" s="33">
        <v>6</v>
      </c>
      <c r="B12" s="74" t="s">
        <v>771</v>
      </c>
      <c r="C12" s="189">
        <v>3929</v>
      </c>
      <c r="D12" s="183">
        <v>6163</v>
      </c>
      <c r="E12" s="189">
        <v>3454</v>
      </c>
      <c r="F12" s="183">
        <v>11195</v>
      </c>
      <c r="G12" s="184">
        <v>25301</v>
      </c>
    </row>
    <row r="13" spans="1:7" s="266" customFormat="1" ht="24.75" customHeight="1">
      <c r="A13" s="33">
        <v>7</v>
      </c>
      <c r="B13" s="74" t="s">
        <v>600</v>
      </c>
      <c r="C13" s="189">
        <v>6201</v>
      </c>
      <c r="D13" s="183">
        <v>11887</v>
      </c>
      <c r="E13" s="189">
        <v>5761</v>
      </c>
      <c r="F13" s="183">
        <v>15123</v>
      </c>
      <c r="G13" s="184">
        <v>28677</v>
      </c>
    </row>
    <row r="14" spans="1:7" s="266" customFormat="1" ht="24.75" customHeight="1">
      <c r="A14" s="33">
        <v>8</v>
      </c>
      <c r="B14" s="74" t="s">
        <v>602</v>
      </c>
      <c r="C14" s="189">
        <v>12312</v>
      </c>
      <c r="D14" s="183">
        <v>8833</v>
      </c>
      <c r="E14" s="189">
        <v>6594</v>
      </c>
      <c r="F14" s="183">
        <v>20318</v>
      </c>
      <c r="G14" s="184">
        <v>46704</v>
      </c>
    </row>
    <row r="15" spans="1:7" s="266" customFormat="1" ht="24.75" customHeight="1">
      <c r="A15" s="33">
        <v>9</v>
      </c>
      <c r="B15" s="74" t="s">
        <v>605</v>
      </c>
      <c r="C15" s="189">
        <v>1753</v>
      </c>
      <c r="D15" s="183">
        <v>4280</v>
      </c>
      <c r="E15" s="189">
        <v>6287</v>
      </c>
      <c r="F15" s="183">
        <v>15917</v>
      </c>
      <c r="G15" s="184">
        <v>33939</v>
      </c>
    </row>
    <row r="16" spans="1:7" s="266" customFormat="1" ht="24.75" customHeight="1">
      <c r="A16" s="33">
        <v>10</v>
      </c>
      <c r="B16" s="74" t="s">
        <v>604</v>
      </c>
      <c r="C16" s="189">
        <v>1460</v>
      </c>
      <c r="D16" s="183">
        <v>3383</v>
      </c>
      <c r="E16" s="189">
        <v>1580</v>
      </c>
      <c r="F16" s="183">
        <v>8971</v>
      </c>
      <c r="G16" s="184">
        <v>24186</v>
      </c>
    </row>
    <row r="17" spans="1:7" s="266" customFormat="1" ht="24.75" customHeight="1">
      <c r="A17" s="33">
        <v>11</v>
      </c>
      <c r="B17" s="74" t="s">
        <v>368</v>
      </c>
      <c r="C17" s="189">
        <v>546</v>
      </c>
      <c r="D17" s="183">
        <v>4202</v>
      </c>
      <c r="E17" s="189">
        <v>2911</v>
      </c>
      <c r="F17" s="183">
        <v>9729</v>
      </c>
      <c r="G17" s="184">
        <v>23479</v>
      </c>
    </row>
    <row r="18" spans="1:7" s="266" customFormat="1" ht="24.75" customHeight="1">
      <c r="A18" s="33">
        <v>12</v>
      </c>
      <c r="B18" s="74" t="s">
        <v>606</v>
      </c>
      <c r="C18" s="189">
        <v>1488</v>
      </c>
      <c r="D18" s="183">
        <v>4243</v>
      </c>
      <c r="E18" s="189">
        <v>2739</v>
      </c>
      <c r="F18" s="183">
        <v>14493</v>
      </c>
      <c r="G18" s="184">
        <v>33602</v>
      </c>
    </row>
    <row r="19" spans="1:7" s="266" customFormat="1" ht="24.75" customHeight="1">
      <c r="A19" s="33">
        <v>13</v>
      </c>
      <c r="B19" s="74" t="s">
        <v>347</v>
      </c>
      <c r="C19" s="189">
        <v>5368</v>
      </c>
      <c r="D19" s="183">
        <v>11435</v>
      </c>
      <c r="E19" s="189">
        <v>3625</v>
      </c>
      <c r="F19" s="183">
        <v>10913</v>
      </c>
      <c r="G19" s="184">
        <v>35293</v>
      </c>
    </row>
    <row r="20" spans="1:7" s="266" customFormat="1" ht="24.75" customHeight="1">
      <c r="A20" s="33">
        <v>14</v>
      </c>
      <c r="B20" s="74" t="s">
        <v>369</v>
      </c>
      <c r="C20" s="189">
        <v>3296</v>
      </c>
      <c r="D20" s="183">
        <v>10426</v>
      </c>
      <c r="E20" s="189">
        <v>3429</v>
      </c>
      <c r="F20" s="183">
        <v>10713</v>
      </c>
      <c r="G20" s="184">
        <v>30773</v>
      </c>
    </row>
    <row r="21" spans="1:7" s="266" customFormat="1" ht="24.75" customHeight="1">
      <c r="A21" s="33">
        <v>15</v>
      </c>
      <c r="B21" s="74" t="s">
        <v>349</v>
      </c>
      <c r="C21" s="189">
        <v>1912</v>
      </c>
      <c r="D21" s="183">
        <v>15291</v>
      </c>
      <c r="E21" s="189">
        <v>4343</v>
      </c>
      <c r="F21" s="183">
        <v>15290</v>
      </c>
      <c r="G21" s="184">
        <v>45944</v>
      </c>
    </row>
    <row r="22" spans="1:7" s="266" customFormat="1" ht="24.75" customHeight="1">
      <c r="A22" s="33">
        <v>16</v>
      </c>
      <c r="B22" s="74" t="s">
        <v>370</v>
      </c>
      <c r="C22" s="189">
        <v>1458</v>
      </c>
      <c r="D22" s="183">
        <v>4553</v>
      </c>
      <c r="E22" s="189">
        <v>4674</v>
      </c>
      <c r="F22" s="183">
        <v>13728</v>
      </c>
      <c r="G22" s="184">
        <v>25769</v>
      </c>
    </row>
    <row r="23" spans="1:7" s="266" customFormat="1" ht="24.75" customHeight="1">
      <c r="A23" s="33">
        <v>17</v>
      </c>
      <c r="B23" s="74" t="s">
        <v>350</v>
      </c>
      <c r="C23" s="189">
        <v>11476</v>
      </c>
      <c r="D23" s="183">
        <v>15901</v>
      </c>
      <c r="E23" s="189">
        <v>3577</v>
      </c>
      <c r="F23" s="183">
        <v>12129</v>
      </c>
      <c r="G23" s="184">
        <v>29960</v>
      </c>
    </row>
    <row r="24" spans="1:7" s="266" customFormat="1" ht="24.75" customHeight="1">
      <c r="A24" s="33">
        <v>18</v>
      </c>
      <c r="B24" s="74" t="s">
        <v>351</v>
      </c>
      <c r="C24" s="189">
        <v>11918</v>
      </c>
      <c r="D24" s="183">
        <v>8990</v>
      </c>
      <c r="E24" s="189">
        <v>3046</v>
      </c>
      <c r="F24" s="183">
        <v>9627</v>
      </c>
      <c r="G24" s="184">
        <v>28805</v>
      </c>
    </row>
    <row r="25" spans="1:7" s="266" customFormat="1" ht="24.75" customHeight="1">
      <c r="A25" s="33">
        <v>19</v>
      </c>
      <c r="B25" s="74" t="s">
        <v>352</v>
      </c>
      <c r="C25" s="189">
        <v>7543</v>
      </c>
      <c r="D25" s="183">
        <v>8185</v>
      </c>
      <c r="E25" s="189">
        <v>5130</v>
      </c>
      <c r="F25" s="183">
        <v>19803</v>
      </c>
      <c r="G25" s="184">
        <v>30249</v>
      </c>
    </row>
    <row r="26" spans="1:7" s="266" customFormat="1" ht="24.75" customHeight="1">
      <c r="A26" s="33">
        <v>20</v>
      </c>
      <c r="B26" s="74" t="s">
        <v>353</v>
      </c>
      <c r="C26" s="189">
        <v>10177</v>
      </c>
      <c r="D26" s="183">
        <v>9950</v>
      </c>
      <c r="E26" s="189">
        <v>2927</v>
      </c>
      <c r="F26" s="183">
        <v>8626</v>
      </c>
      <c r="G26" s="184">
        <v>38357</v>
      </c>
    </row>
    <row r="27" spans="1:7" s="266" customFormat="1" ht="24.75" customHeight="1">
      <c r="A27" s="33">
        <v>21</v>
      </c>
      <c r="B27" s="74" t="s">
        <v>354</v>
      </c>
      <c r="C27" s="189">
        <v>13087</v>
      </c>
      <c r="D27" s="183">
        <v>19506</v>
      </c>
      <c r="E27" s="189">
        <v>4555</v>
      </c>
      <c r="F27" s="183">
        <v>14805</v>
      </c>
      <c r="G27" s="184">
        <v>42494</v>
      </c>
    </row>
    <row r="28" spans="1:7" s="266" customFormat="1" ht="24.75" customHeight="1">
      <c r="A28" s="41">
        <v>22</v>
      </c>
      <c r="B28" s="75" t="s">
        <v>355</v>
      </c>
      <c r="C28" s="227">
        <v>7183</v>
      </c>
      <c r="D28" s="183">
        <v>20600</v>
      </c>
      <c r="E28" s="227">
        <v>4106</v>
      </c>
      <c r="F28" s="248">
        <v>14128</v>
      </c>
      <c r="G28" s="248">
        <v>37246</v>
      </c>
    </row>
    <row r="29" spans="1:7">
      <c r="A29" s="717" t="s">
        <v>1619</v>
      </c>
      <c r="B29" s="1403" t="s">
        <v>1620</v>
      </c>
      <c r="C29" s="1403"/>
      <c r="D29" s="1403"/>
      <c r="E29" s="754" t="s">
        <v>487</v>
      </c>
      <c r="F29" s="908" t="s">
        <v>3</v>
      </c>
      <c r="G29" s="717"/>
    </row>
    <row r="30" spans="1:7">
      <c r="A30" s="717"/>
      <c r="B30" s="1577"/>
      <c r="C30" s="1577"/>
      <c r="D30" s="1577"/>
      <c r="E30" s="716" t="s">
        <v>523</v>
      </c>
      <c r="F30" s="756" t="s">
        <v>1299</v>
      </c>
      <c r="G30" s="757"/>
    </row>
    <row r="31" spans="1:7">
      <c r="A31" s="717"/>
      <c r="B31" s="1578" t="s">
        <v>855</v>
      </c>
      <c r="C31" s="1579"/>
      <c r="D31" s="1579"/>
      <c r="E31" s="716" t="s">
        <v>497</v>
      </c>
      <c r="F31" s="717" t="s">
        <v>1298</v>
      </c>
      <c r="G31" s="758"/>
    </row>
    <row r="32" spans="1:7">
      <c r="A32" s="717"/>
      <c r="B32" s="1579"/>
      <c r="C32" s="1579"/>
      <c r="D32" s="1579"/>
      <c r="E32" s="717"/>
      <c r="F32" s="717"/>
      <c r="G32" s="717"/>
    </row>
    <row r="33" spans="1:7" ht="14.25" customHeight="1">
      <c r="A33" s="717"/>
      <c r="B33" s="1579"/>
      <c r="C33" s="1579"/>
      <c r="D33" s="1579"/>
      <c r="E33" s="717"/>
      <c r="F33" s="717"/>
      <c r="G33" s="717"/>
    </row>
    <row r="34" spans="1:7">
      <c r="A34" s="717" t="s">
        <v>1297</v>
      </c>
      <c r="C34" s="717"/>
      <c r="D34" s="717"/>
      <c r="E34" s="755"/>
      <c r="F34" s="717"/>
      <c r="G34" s="717"/>
    </row>
    <row r="35" spans="1:7">
      <c r="B35" s="1576"/>
      <c r="C35" s="1576"/>
    </row>
  </sheetData>
  <mergeCells count="12">
    <mergeCell ref="B35:C35"/>
    <mergeCell ref="A4:A5"/>
    <mergeCell ref="B4:B5"/>
    <mergeCell ref="C4:C5"/>
    <mergeCell ref="B29:D30"/>
    <mergeCell ref="B31:D33"/>
    <mergeCell ref="A1:G1"/>
    <mergeCell ref="A2:G2"/>
    <mergeCell ref="D4:D5"/>
    <mergeCell ref="E4:E5"/>
    <mergeCell ref="F4:F5"/>
    <mergeCell ref="G4:G5"/>
  </mergeCells>
  <phoneticPr fontId="0" type="noConversion"/>
  <printOptions horizontalCentered="1"/>
  <pageMargins left="0.15" right="0" top="0.68" bottom="0.1" header="1" footer="0.1"/>
  <pageSetup paperSize="9" orientation="portrait" r:id="rId1"/>
  <headerFooter alignWithMargins="0"/>
</worksheet>
</file>

<file path=xl/worksheets/sheet82.xml><?xml version="1.0" encoding="utf-8"?>
<worksheet xmlns="http://schemas.openxmlformats.org/spreadsheetml/2006/main" xmlns:r="http://schemas.openxmlformats.org/officeDocument/2006/relationships">
  <sheetPr codeName="Sheet99"/>
  <dimension ref="A1:AX59"/>
  <sheetViews>
    <sheetView topLeftCell="W1" workbookViewId="0">
      <selection activeCell="AR13" sqref="AR13"/>
    </sheetView>
  </sheetViews>
  <sheetFormatPr defaultRowHeight="12.75"/>
  <cols>
    <col min="1" max="1" width="4" style="5" customWidth="1"/>
    <col min="2" max="2" width="15.140625" style="5" customWidth="1"/>
    <col min="3" max="17" width="8" style="5" customWidth="1"/>
    <col min="18" max="18" width="1.140625" style="5" customWidth="1"/>
    <col min="19" max="19" width="4" style="5" customWidth="1"/>
    <col min="20" max="20" width="15.28515625" style="5" customWidth="1"/>
    <col min="21" max="35" width="8" style="5" customWidth="1"/>
    <col min="36" max="36" width="1.5703125" style="5" customWidth="1"/>
    <col min="37" max="37" width="4.140625" style="5" customWidth="1"/>
    <col min="38" max="38" width="14" style="5" customWidth="1"/>
    <col min="39" max="50" width="10" style="5" customWidth="1"/>
    <col min="51" max="51" width="7.5703125" style="5" customWidth="1"/>
    <col min="52" max="16384" width="9.140625" style="5"/>
  </cols>
  <sheetData>
    <row r="1" spans="1:50" ht="14.25" customHeight="1">
      <c r="A1" s="1580" t="s">
        <v>1550</v>
      </c>
      <c r="B1" s="1580"/>
      <c r="C1" s="1580"/>
      <c r="D1" s="1580"/>
      <c r="E1" s="1580"/>
      <c r="F1" s="1580"/>
      <c r="G1" s="1580"/>
      <c r="H1" s="1580"/>
      <c r="I1" s="1580"/>
      <c r="J1" s="1580"/>
      <c r="K1" s="1580"/>
      <c r="L1" s="1580"/>
      <c r="M1" s="1580"/>
      <c r="N1" s="1580"/>
      <c r="O1" s="1580"/>
      <c r="P1" s="1580"/>
      <c r="Q1" s="1580"/>
      <c r="R1" s="1012"/>
      <c r="S1" s="1012"/>
      <c r="T1" s="1012"/>
      <c r="U1" s="1012"/>
      <c r="V1" s="1012"/>
      <c r="W1" s="1012"/>
      <c r="X1" s="1013"/>
      <c r="Y1" s="1013"/>
      <c r="Z1" s="1013"/>
      <c r="AA1" s="1013"/>
      <c r="AB1" s="1013"/>
      <c r="AC1" s="1013"/>
      <c r="AD1" s="1013"/>
      <c r="AE1" s="1013"/>
      <c r="AF1" s="1013"/>
      <c r="AG1" s="1013"/>
      <c r="AH1" s="1013"/>
      <c r="AI1" s="1013"/>
      <c r="AJ1" s="1013"/>
      <c r="AK1" s="1013"/>
      <c r="AL1" s="1012"/>
      <c r="AM1" s="1013"/>
      <c r="AN1" s="1013"/>
      <c r="AO1" s="1013"/>
      <c r="AP1" s="1013"/>
      <c r="AQ1" s="1013"/>
      <c r="AR1" s="1013"/>
      <c r="AS1" s="1012"/>
      <c r="AT1" s="1012"/>
      <c r="AU1" s="1012"/>
      <c r="AV1" s="1013"/>
      <c r="AW1" s="1013"/>
      <c r="AX1" s="1013"/>
    </row>
    <row r="2" spans="1:50" s="46" customFormat="1" ht="19.5" customHeight="1">
      <c r="A2" s="1581" t="s">
        <v>1679</v>
      </c>
      <c r="B2" s="1581"/>
      <c r="C2" s="1581"/>
      <c r="D2" s="1581"/>
      <c r="E2" s="1581"/>
      <c r="F2" s="1581"/>
      <c r="G2" s="1581"/>
      <c r="H2" s="1581"/>
      <c r="I2" s="1581"/>
      <c r="J2" s="1581"/>
      <c r="K2" s="1581"/>
      <c r="L2" s="1581"/>
      <c r="M2" s="1581"/>
      <c r="N2" s="1581"/>
      <c r="O2" s="1581"/>
      <c r="P2" s="1581"/>
      <c r="Q2" s="1581"/>
      <c r="R2" s="1014"/>
      <c r="S2" s="1589" t="s">
        <v>524</v>
      </c>
      <c r="T2" s="1589"/>
      <c r="U2" s="1589"/>
      <c r="V2" s="1589"/>
      <c r="W2" s="1589"/>
      <c r="X2" s="1589"/>
      <c r="Y2" s="1589"/>
      <c r="Z2" s="1589"/>
      <c r="AA2" s="1589"/>
      <c r="AB2" s="1589"/>
      <c r="AC2" s="1589"/>
      <c r="AD2" s="1589"/>
      <c r="AE2" s="1589"/>
      <c r="AF2" s="1589"/>
      <c r="AG2" s="1589"/>
      <c r="AH2" s="1589"/>
      <c r="AI2" s="1589"/>
      <c r="AJ2" s="1015"/>
      <c r="AK2" s="1589" t="s">
        <v>1551</v>
      </c>
      <c r="AL2" s="1589"/>
      <c r="AM2" s="1589"/>
      <c r="AN2" s="1589"/>
      <c r="AO2" s="1589"/>
      <c r="AP2" s="1589"/>
      <c r="AQ2" s="1589"/>
      <c r="AR2" s="1589"/>
      <c r="AS2" s="1589"/>
      <c r="AT2" s="1589"/>
      <c r="AU2" s="1589"/>
      <c r="AV2" s="1589"/>
      <c r="AW2" s="1589"/>
      <c r="AX2" s="1589"/>
    </row>
    <row r="3" spans="1:50" s="46" customFormat="1" ht="17.25" customHeight="1">
      <c r="A3" s="1586" t="s">
        <v>748</v>
      </c>
      <c r="B3" s="1586" t="s">
        <v>1000</v>
      </c>
      <c r="C3" s="1582" t="s">
        <v>952</v>
      </c>
      <c r="D3" s="1583"/>
      <c r="E3" s="1585"/>
      <c r="F3" s="1582" t="s">
        <v>953</v>
      </c>
      <c r="G3" s="1583"/>
      <c r="H3" s="1585"/>
      <c r="I3" s="1582" t="s">
        <v>954</v>
      </c>
      <c r="J3" s="1583"/>
      <c r="K3" s="1585"/>
      <c r="L3" s="1582" t="s">
        <v>956</v>
      </c>
      <c r="M3" s="1583"/>
      <c r="N3" s="1584"/>
      <c r="O3" s="1582" t="s">
        <v>958</v>
      </c>
      <c r="P3" s="1583"/>
      <c r="Q3" s="1585"/>
      <c r="R3" s="1016"/>
      <c r="S3" s="1586" t="s">
        <v>748</v>
      </c>
      <c r="T3" s="1591" t="s">
        <v>1000</v>
      </c>
      <c r="U3" s="1582" t="s">
        <v>967</v>
      </c>
      <c r="V3" s="1583"/>
      <c r="W3" s="1585"/>
      <c r="X3" s="1582" t="s">
        <v>1218</v>
      </c>
      <c r="Y3" s="1583"/>
      <c r="Z3" s="1585"/>
      <c r="AA3" s="1582" t="s">
        <v>1501</v>
      </c>
      <c r="AB3" s="1583"/>
      <c r="AC3" s="1585"/>
      <c r="AD3" s="1582" t="s">
        <v>1639</v>
      </c>
      <c r="AE3" s="1583"/>
      <c r="AF3" s="1584"/>
      <c r="AG3" s="1582" t="s">
        <v>450</v>
      </c>
      <c r="AH3" s="1583"/>
      <c r="AI3" s="1585"/>
      <c r="AJ3" s="1016"/>
      <c r="AK3" s="1586" t="s">
        <v>748</v>
      </c>
      <c r="AL3" s="1586" t="s">
        <v>1000</v>
      </c>
      <c r="AM3" s="1582" t="s">
        <v>1502</v>
      </c>
      <c r="AN3" s="1583"/>
      <c r="AO3" s="1585"/>
      <c r="AP3" s="1582" t="s">
        <v>1424</v>
      </c>
      <c r="AQ3" s="1583"/>
      <c r="AR3" s="1584"/>
      <c r="AS3" s="1582" t="s">
        <v>1021</v>
      </c>
      <c r="AT3" s="1583"/>
      <c r="AU3" s="1585"/>
      <c r="AV3" s="1582" t="s">
        <v>1020</v>
      </c>
      <c r="AW3" s="1583"/>
      <c r="AX3" s="1585"/>
    </row>
    <row r="4" spans="1:50" s="46" customFormat="1" ht="15.75" customHeight="1">
      <c r="A4" s="1587"/>
      <c r="B4" s="1588"/>
      <c r="C4" s="1017" t="s">
        <v>321</v>
      </c>
      <c r="D4" s="1018" t="s">
        <v>1504</v>
      </c>
      <c r="E4" s="1019" t="s">
        <v>1505</v>
      </c>
      <c r="F4" s="1017" t="s">
        <v>321</v>
      </c>
      <c r="G4" s="1018" t="s">
        <v>1504</v>
      </c>
      <c r="H4" s="1019" t="s">
        <v>1505</v>
      </c>
      <c r="I4" s="1017" t="s">
        <v>321</v>
      </c>
      <c r="J4" s="1018" t="s">
        <v>1504</v>
      </c>
      <c r="K4" s="1019" t="s">
        <v>1505</v>
      </c>
      <c r="L4" s="1017" t="s">
        <v>321</v>
      </c>
      <c r="M4" s="1018" t="s">
        <v>1504</v>
      </c>
      <c r="N4" s="1019" t="s">
        <v>1505</v>
      </c>
      <c r="O4" s="1017" t="s">
        <v>321</v>
      </c>
      <c r="P4" s="1018" t="s">
        <v>1504</v>
      </c>
      <c r="Q4" s="1020" t="s">
        <v>1505</v>
      </c>
      <c r="R4" s="1016"/>
      <c r="S4" s="1590"/>
      <c r="T4" s="1592"/>
      <c r="U4" s="1017" t="s">
        <v>321</v>
      </c>
      <c r="V4" s="1124" t="s">
        <v>1506</v>
      </c>
      <c r="W4" s="1019" t="s">
        <v>1507</v>
      </c>
      <c r="X4" s="1017" t="s">
        <v>321</v>
      </c>
      <c r="Y4" s="1124" t="s">
        <v>1504</v>
      </c>
      <c r="Z4" s="1127" t="s">
        <v>1505</v>
      </c>
      <c r="AA4" s="1017" t="s">
        <v>321</v>
      </c>
      <c r="AB4" s="1124" t="s">
        <v>1504</v>
      </c>
      <c r="AC4" s="1127" t="s">
        <v>1505</v>
      </c>
      <c r="AD4" s="1017" t="s">
        <v>321</v>
      </c>
      <c r="AE4" s="1124" t="s">
        <v>1504</v>
      </c>
      <c r="AF4" s="1019" t="s">
        <v>1505</v>
      </c>
      <c r="AG4" s="1017" t="s">
        <v>321</v>
      </c>
      <c r="AH4" s="1124" t="s">
        <v>1504</v>
      </c>
      <c r="AI4" s="1127" t="s">
        <v>1505</v>
      </c>
      <c r="AJ4" s="1016"/>
      <c r="AK4" s="1587"/>
      <c r="AL4" s="1588"/>
      <c r="AM4" s="1017" t="s">
        <v>321</v>
      </c>
      <c r="AN4" s="1124" t="s">
        <v>1504</v>
      </c>
      <c r="AO4" s="1019" t="s">
        <v>1505</v>
      </c>
      <c r="AP4" s="1017" t="s">
        <v>321</v>
      </c>
      <c r="AQ4" s="1125" t="s">
        <v>1504</v>
      </c>
      <c r="AR4" s="1019" t="s">
        <v>1505</v>
      </c>
      <c r="AS4" s="1017" t="s">
        <v>321</v>
      </c>
      <c r="AT4" s="1124" t="s">
        <v>1504</v>
      </c>
      <c r="AU4" s="1127" t="s">
        <v>1505</v>
      </c>
      <c r="AV4" s="1017" t="s">
        <v>321</v>
      </c>
      <c r="AW4" s="1124" t="s">
        <v>1504</v>
      </c>
      <c r="AX4" s="1127" t="s">
        <v>1505</v>
      </c>
    </row>
    <row r="5" spans="1:50" s="46" customFormat="1" ht="16.5" customHeight="1">
      <c r="A5" s="1021" t="s">
        <v>418</v>
      </c>
      <c r="B5" s="1022" t="s">
        <v>419</v>
      </c>
      <c r="C5" s="1023" t="s">
        <v>420</v>
      </c>
      <c r="D5" s="1022" t="s">
        <v>421</v>
      </c>
      <c r="E5" s="1022" t="s">
        <v>422</v>
      </c>
      <c r="F5" s="1023" t="s">
        <v>423</v>
      </c>
      <c r="G5" s="1022" t="s">
        <v>424</v>
      </c>
      <c r="H5" s="1022" t="s">
        <v>440</v>
      </c>
      <c r="I5" s="1023" t="s">
        <v>441</v>
      </c>
      <c r="J5" s="1022" t="s">
        <v>442</v>
      </c>
      <c r="K5" s="1022" t="s">
        <v>443</v>
      </c>
      <c r="L5" s="1023" t="s">
        <v>537</v>
      </c>
      <c r="M5" s="1022" t="s">
        <v>538</v>
      </c>
      <c r="N5" s="1022" t="s">
        <v>539</v>
      </c>
      <c r="O5" s="1023" t="s">
        <v>540</v>
      </c>
      <c r="P5" s="1022" t="s">
        <v>542</v>
      </c>
      <c r="Q5" s="1024" t="s">
        <v>543</v>
      </c>
      <c r="R5" s="1025"/>
      <c r="S5" s="1021" t="s">
        <v>418</v>
      </c>
      <c r="T5" s="1022" t="s">
        <v>419</v>
      </c>
      <c r="U5" s="1023" t="s">
        <v>545</v>
      </c>
      <c r="V5" s="1022" t="s">
        <v>544</v>
      </c>
      <c r="W5" s="1022" t="s">
        <v>918</v>
      </c>
      <c r="X5" s="1023" t="s">
        <v>919</v>
      </c>
      <c r="Y5" s="1022" t="s">
        <v>920</v>
      </c>
      <c r="Z5" s="1024" t="s">
        <v>1391</v>
      </c>
      <c r="AA5" s="1023" t="s">
        <v>1392</v>
      </c>
      <c r="AB5" s="1022" t="s">
        <v>1465</v>
      </c>
      <c r="AC5" s="1024" t="s">
        <v>1466</v>
      </c>
      <c r="AD5" s="1023" t="s">
        <v>1467</v>
      </c>
      <c r="AE5" s="1022" t="s">
        <v>1468</v>
      </c>
      <c r="AF5" s="1024" t="s">
        <v>1469</v>
      </c>
      <c r="AG5" s="1023" t="s">
        <v>1470</v>
      </c>
      <c r="AH5" s="1022" t="s">
        <v>1471</v>
      </c>
      <c r="AI5" s="1024" t="s">
        <v>1472</v>
      </c>
      <c r="AJ5" s="1025"/>
      <c r="AK5" s="1021" t="s">
        <v>418</v>
      </c>
      <c r="AL5" s="1023" t="s">
        <v>419</v>
      </c>
      <c r="AM5" s="1023" t="s">
        <v>1473</v>
      </c>
      <c r="AN5" s="1022" t="s">
        <v>1474</v>
      </c>
      <c r="AO5" s="1022" t="s">
        <v>1475</v>
      </c>
      <c r="AP5" s="1023" t="s">
        <v>1480</v>
      </c>
      <c r="AQ5" s="1026" t="s">
        <v>1482</v>
      </c>
      <c r="AR5" s="1022" t="s">
        <v>1481</v>
      </c>
      <c r="AS5" s="1023" t="s">
        <v>1483</v>
      </c>
      <c r="AT5" s="1022" t="s">
        <v>1484</v>
      </c>
      <c r="AU5" s="1024" t="s">
        <v>1485</v>
      </c>
      <c r="AV5" s="1023" t="s">
        <v>1486</v>
      </c>
      <c r="AW5" s="1022" t="s">
        <v>1487</v>
      </c>
      <c r="AX5" s="1024" t="s">
        <v>1488</v>
      </c>
    </row>
    <row r="6" spans="1:50" s="46" customFormat="1" ht="18.95" customHeight="1">
      <c r="A6" s="1027">
        <v>1</v>
      </c>
      <c r="B6" s="1028" t="s">
        <v>596</v>
      </c>
      <c r="C6" s="694">
        <v>15</v>
      </c>
      <c r="D6" s="1029">
        <v>0.31</v>
      </c>
      <c r="E6" s="1030">
        <v>2054.19</v>
      </c>
      <c r="F6" s="1031">
        <v>9255</v>
      </c>
      <c r="G6" s="1032">
        <v>25.44</v>
      </c>
      <c r="H6" s="1033">
        <v>2748.81</v>
      </c>
      <c r="I6" s="1031">
        <v>4</v>
      </c>
      <c r="J6" s="1032">
        <v>1.2E-2</v>
      </c>
      <c r="K6" s="1033">
        <v>2943.63</v>
      </c>
      <c r="L6" s="1031">
        <v>6</v>
      </c>
      <c r="M6" s="1032">
        <v>1.4E-2</v>
      </c>
      <c r="N6" s="1033">
        <v>2335.19</v>
      </c>
      <c r="O6" s="1031" t="s">
        <v>1127</v>
      </c>
      <c r="P6" s="1032" t="s">
        <v>1127</v>
      </c>
      <c r="Q6" s="1034" t="s">
        <v>1127</v>
      </c>
      <c r="R6" s="1035"/>
      <c r="S6" s="1027">
        <v>1</v>
      </c>
      <c r="T6" s="1028" t="s">
        <v>596</v>
      </c>
      <c r="U6" s="1036" t="s">
        <v>1127</v>
      </c>
      <c r="V6" s="1037" t="s">
        <v>1127</v>
      </c>
      <c r="W6" s="1038" t="s">
        <v>1127</v>
      </c>
      <c r="X6" s="1036">
        <v>3</v>
      </c>
      <c r="Y6" s="1037">
        <v>2E-3</v>
      </c>
      <c r="Z6" s="1038">
        <v>749.36</v>
      </c>
      <c r="AA6" s="1031" t="s">
        <v>1127</v>
      </c>
      <c r="AB6" s="1037" t="s">
        <v>1127</v>
      </c>
      <c r="AC6" s="1034" t="s">
        <v>1127</v>
      </c>
      <c r="AD6" s="1036" t="s">
        <v>1127</v>
      </c>
      <c r="AE6" s="1037" t="s">
        <v>1127</v>
      </c>
      <c r="AF6" s="1038" t="s">
        <v>1127</v>
      </c>
      <c r="AG6" s="1036" t="s">
        <v>1127</v>
      </c>
      <c r="AH6" s="1037" t="s">
        <v>1127</v>
      </c>
      <c r="AI6" s="1034" t="s">
        <v>1127</v>
      </c>
      <c r="AJ6" s="1039"/>
      <c r="AK6" s="1027">
        <v>1</v>
      </c>
      <c r="AL6" s="1040" t="s">
        <v>596</v>
      </c>
      <c r="AM6" s="1036">
        <v>24</v>
      </c>
      <c r="AN6" s="1037">
        <v>1.9E-2</v>
      </c>
      <c r="AO6" s="1038">
        <v>798.86</v>
      </c>
      <c r="AP6" s="1036" t="s">
        <v>1127</v>
      </c>
      <c r="AQ6" s="1037" t="s">
        <v>1127</v>
      </c>
      <c r="AR6" s="1038" t="s">
        <v>1127</v>
      </c>
      <c r="AS6" s="1031">
        <v>55</v>
      </c>
      <c r="AT6" s="1032">
        <v>1524</v>
      </c>
      <c r="AU6" s="1033">
        <v>27700</v>
      </c>
      <c r="AV6" s="1036" t="s">
        <v>1127</v>
      </c>
      <c r="AW6" s="1037" t="s">
        <v>1127</v>
      </c>
      <c r="AX6" s="1041" t="s">
        <v>1127</v>
      </c>
    </row>
    <row r="7" spans="1:50" s="46" customFormat="1" ht="18.95" customHeight="1">
      <c r="A7" s="1027">
        <v>2</v>
      </c>
      <c r="B7" s="1028" t="s">
        <v>595</v>
      </c>
      <c r="C7" s="1042" t="s">
        <v>1127</v>
      </c>
      <c r="D7" s="1043" t="s">
        <v>1127</v>
      </c>
      <c r="E7" s="1149" t="s">
        <v>1127</v>
      </c>
      <c r="F7" s="1036">
        <v>32270</v>
      </c>
      <c r="G7" s="1037">
        <v>95.513000000000005</v>
      </c>
      <c r="H7" s="1038">
        <v>2959.81</v>
      </c>
      <c r="I7" s="1036">
        <v>19</v>
      </c>
      <c r="J7" s="1037">
        <v>6.0999999999999999E-2</v>
      </c>
      <c r="K7" s="1038">
        <v>3201.55</v>
      </c>
      <c r="L7" s="1036">
        <v>72</v>
      </c>
      <c r="M7" s="1037">
        <v>0.185</v>
      </c>
      <c r="N7" s="1038">
        <v>2572.6799999999998</v>
      </c>
      <c r="O7" s="1036" t="s">
        <v>1127</v>
      </c>
      <c r="P7" s="1037" t="s">
        <v>1127</v>
      </c>
      <c r="Q7" s="1041" t="s">
        <v>1127</v>
      </c>
      <c r="R7" s="1035"/>
      <c r="S7" s="1027">
        <v>2</v>
      </c>
      <c r="T7" s="1028" t="s">
        <v>595</v>
      </c>
      <c r="U7" s="1036" t="s">
        <v>1127</v>
      </c>
      <c r="V7" s="1037" t="s">
        <v>1127</v>
      </c>
      <c r="W7" s="1038" t="s">
        <v>1127</v>
      </c>
      <c r="X7" s="1036">
        <v>5</v>
      </c>
      <c r="Y7" s="1037">
        <v>3.0000000000000001E-3</v>
      </c>
      <c r="Z7" s="1038">
        <v>547.42999999999995</v>
      </c>
      <c r="AA7" s="1036" t="s">
        <v>1127</v>
      </c>
      <c r="AB7" s="1037" t="s">
        <v>1127</v>
      </c>
      <c r="AC7" s="1038" t="s">
        <v>1127</v>
      </c>
      <c r="AD7" s="1036" t="s">
        <v>1127</v>
      </c>
      <c r="AE7" s="1037" t="s">
        <v>1127</v>
      </c>
      <c r="AF7" s="1038" t="s">
        <v>1127</v>
      </c>
      <c r="AG7" s="1036">
        <v>1</v>
      </c>
      <c r="AH7" s="1037">
        <v>1E-3</v>
      </c>
      <c r="AI7" s="1041">
        <v>1024.17</v>
      </c>
      <c r="AJ7" s="1039"/>
      <c r="AK7" s="1027">
        <v>2</v>
      </c>
      <c r="AL7" s="1040" t="s">
        <v>595</v>
      </c>
      <c r="AM7" s="1036">
        <v>344</v>
      </c>
      <c r="AN7" s="1037">
        <v>0.192</v>
      </c>
      <c r="AO7" s="1038">
        <v>574.03</v>
      </c>
      <c r="AP7" s="1036">
        <v>48</v>
      </c>
      <c r="AQ7" s="1037">
        <v>3.2000000000000001E-2</v>
      </c>
      <c r="AR7" s="1038">
        <v>663.37</v>
      </c>
      <c r="AS7" s="1036">
        <v>3128</v>
      </c>
      <c r="AT7" s="1037">
        <v>86596</v>
      </c>
      <c r="AU7" s="1038">
        <v>27684</v>
      </c>
      <c r="AV7" s="1036" t="s">
        <v>1127</v>
      </c>
      <c r="AW7" s="1037" t="s">
        <v>1127</v>
      </c>
      <c r="AX7" s="1041" t="s">
        <v>1127</v>
      </c>
    </row>
    <row r="8" spans="1:50" s="46" customFormat="1" ht="18.95" customHeight="1">
      <c r="A8" s="1027">
        <v>3</v>
      </c>
      <c r="B8" s="1028" t="s">
        <v>597</v>
      </c>
      <c r="C8" s="1042" t="s">
        <v>1127</v>
      </c>
      <c r="D8" s="1043" t="s">
        <v>1127</v>
      </c>
      <c r="E8" s="1149" t="s">
        <v>1127</v>
      </c>
      <c r="F8" s="1036">
        <v>2756</v>
      </c>
      <c r="G8" s="1037">
        <v>6.976</v>
      </c>
      <c r="H8" s="1038">
        <v>2531.25</v>
      </c>
      <c r="I8" s="1036" t="s">
        <v>1127</v>
      </c>
      <c r="J8" s="1037" t="s">
        <v>1127</v>
      </c>
      <c r="K8" s="1038" t="s">
        <v>1127</v>
      </c>
      <c r="L8" s="1036"/>
      <c r="M8" s="1037"/>
      <c r="N8" s="1038"/>
      <c r="O8" s="1036" t="s">
        <v>1127</v>
      </c>
      <c r="P8" s="1037" t="s">
        <v>1127</v>
      </c>
      <c r="Q8" s="1041" t="s">
        <v>1127</v>
      </c>
      <c r="R8" s="1035"/>
      <c r="S8" s="1027">
        <v>3</v>
      </c>
      <c r="T8" s="1028" t="s">
        <v>597</v>
      </c>
      <c r="U8" s="1036" t="s">
        <v>1127</v>
      </c>
      <c r="V8" s="1037" t="s">
        <v>1127</v>
      </c>
      <c r="W8" s="1038" t="s">
        <v>1127</v>
      </c>
      <c r="X8" s="1036" t="s">
        <v>1127</v>
      </c>
      <c r="Y8" s="1037" t="s">
        <v>1127</v>
      </c>
      <c r="Z8" s="1038" t="s">
        <v>1127</v>
      </c>
      <c r="AA8" s="1036" t="s">
        <v>1127</v>
      </c>
      <c r="AB8" s="1037" t="s">
        <v>1127</v>
      </c>
      <c r="AC8" s="1041" t="s">
        <v>1127</v>
      </c>
      <c r="AD8" s="1036" t="s">
        <v>1127</v>
      </c>
      <c r="AE8" s="1037" t="s">
        <v>1127</v>
      </c>
      <c r="AF8" s="1038" t="s">
        <v>1127</v>
      </c>
      <c r="AG8" s="1036" t="s">
        <v>1127</v>
      </c>
      <c r="AH8" s="1037" t="s">
        <v>1127</v>
      </c>
      <c r="AI8" s="1041" t="s">
        <v>1127</v>
      </c>
      <c r="AJ8" s="1039"/>
      <c r="AK8" s="1027">
        <v>3</v>
      </c>
      <c r="AL8" s="1040" t="s">
        <v>597</v>
      </c>
      <c r="AM8" s="1036">
        <v>25</v>
      </c>
      <c r="AN8" s="1037">
        <v>0.02</v>
      </c>
      <c r="AO8" s="1038">
        <v>805.4</v>
      </c>
      <c r="AP8" s="1036" t="s">
        <v>1127</v>
      </c>
      <c r="AQ8" s="1037" t="s">
        <v>1127</v>
      </c>
      <c r="AR8" s="1038" t="s">
        <v>1127</v>
      </c>
      <c r="AS8" s="1036" t="s">
        <v>1127</v>
      </c>
      <c r="AT8" s="1037" t="s">
        <v>1127</v>
      </c>
      <c r="AU8" s="1038" t="s">
        <v>1127</v>
      </c>
      <c r="AV8" s="1036" t="s">
        <v>1127</v>
      </c>
      <c r="AW8" s="1037" t="s">
        <v>1127</v>
      </c>
      <c r="AX8" s="1041" t="s">
        <v>1127</v>
      </c>
    </row>
    <row r="9" spans="1:50" s="46" customFormat="1" ht="18.95" customHeight="1">
      <c r="A9" s="1027">
        <v>4</v>
      </c>
      <c r="B9" s="1028" t="s">
        <v>598</v>
      </c>
      <c r="C9" s="1045"/>
      <c r="D9" s="4"/>
      <c r="E9" s="1046"/>
      <c r="F9" s="1036">
        <v>2006</v>
      </c>
      <c r="G9" s="1037">
        <v>3.7709999999999999</v>
      </c>
      <c r="H9" s="1038">
        <v>1879.79</v>
      </c>
      <c r="I9" s="1036" t="s">
        <v>1127</v>
      </c>
      <c r="J9" s="1037" t="s">
        <v>1127</v>
      </c>
      <c r="K9" s="1038" t="s">
        <v>1127</v>
      </c>
      <c r="L9" s="1036">
        <v>10</v>
      </c>
      <c r="M9" s="1037">
        <v>2.5000000000000001E-2</v>
      </c>
      <c r="N9" s="1038">
        <v>2460.94</v>
      </c>
      <c r="O9" s="1036" t="s">
        <v>1127</v>
      </c>
      <c r="P9" s="1037" t="s">
        <v>1127</v>
      </c>
      <c r="Q9" s="1041" t="s">
        <v>1127</v>
      </c>
      <c r="R9" s="1035"/>
      <c r="S9" s="1027">
        <v>4</v>
      </c>
      <c r="T9" s="1028" t="s">
        <v>598</v>
      </c>
      <c r="U9" s="1036" t="s">
        <v>1127</v>
      </c>
      <c r="V9" s="1037" t="s">
        <v>1127</v>
      </c>
      <c r="W9" s="1038" t="s">
        <v>1127</v>
      </c>
      <c r="X9" s="1036">
        <v>1</v>
      </c>
      <c r="Y9" s="1037">
        <v>1E-3</v>
      </c>
      <c r="Z9" s="1038">
        <v>714.85</v>
      </c>
      <c r="AA9" s="1036" t="s">
        <v>1127</v>
      </c>
      <c r="AB9" s="1037" t="s">
        <v>1127</v>
      </c>
      <c r="AC9" s="1041" t="s">
        <v>1127</v>
      </c>
      <c r="AD9" s="1036" t="s">
        <v>1127</v>
      </c>
      <c r="AE9" s="1037" t="s">
        <v>1127</v>
      </c>
      <c r="AF9" s="1038" t="s">
        <v>1127</v>
      </c>
      <c r="AG9" s="1036" t="s">
        <v>1127</v>
      </c>
      <c r="AH9" s="1037" t="s">
        <v>1127</v>
      </c>
      <c r="AI9" s="1041" t="s">
        <v>1127</v>
      </c>
      <c r="AJ9" s="1039"/>
      <c r="AK9" s="1027">
        <v>4</v>
      </c>
      <c r="AL9" s="1040" t="s">
        <v>598</v>
      </c>
      <c r="AM9" s="1036">
        <v>2</v>
      </c>
      <c r="AN9" s="1037">
        <v>1E-3</v>
      </c>
      <c r="AO9" s="1038">
        <v>472.85</v>
      </c>
      <c r="AP9" s="1036">
        <v>168</v>
      </c>
      <c r="AQ9" s="1037">
        <v>0.16700000000000001</v>
      </c>
      <c r="AR9" s="1038">
        <v>996.4</v>
      </c>
      <c r="AS9" s="1036" t="s">
        <v>1127</v>
      </c>
      <c r="AT9" s="1037" t="s">
        <v>1127</v>
      </c>
      <c r="AU9" s="1038" t="s">
        <v>1127</v>
      </c>
      <c r="AV9" s="1036" t="s">
        <v>1127</v>
      </c>
      <c r="AW9" s="1037" t="s">
        <v>1127</v>
      </c>
      <c r="AX9" s="1041" t="s">
        <v>1127</v>
      </c>
    </row>
    <row r="10" spans="1:50" s="46" customFormat="1" ht="18.95" customHeight="1">
      <c r="A10" s="1027">
        <v>5</v>
      </c>
      <c r="B10" s="1028" t="s">
        <v>599</v>
      </c>
      <c r="C10" s="1042" t="s">
        <v>1127</v>
      </c>
      <c r="D10" s="1043" t="s">
        <v>1127</v>
      </c>
      <c r="E10" s="1149" t="s">
        <v>1127</v>
      </c>
      <c r="F10" s="1036">
        <v>1371</v>
      </c>
      <c r="G10" s="1037">
        <v>2.8580000000000001</v>
      </c>
      <c r="H10" s="1038">
        <v>2084.4</v>
      </c>
      <c r="I10" s="1036" t="s">
        <v>1127</v>
      </c>
      <c r="J10" s="1037" t="s">
        <v>1127</v>
      </c>
      <c r="K10" s="1038" t="s">
        <v>1127</v>
      </c>
      <c r="L10" s="1036">
        <v>6</v>
      </c>
      <c r="M10" s="1037">
        <v>1.2E-2</v>
      </c>
      <c r="N10" s="1038">
        <v>2043.76</v>
      </c>
      <c r="O10" s="1036" t="s">
        <v>1127</v>
      </c>
      <c r="P10" s="1037" t="s">
        <v>1127</v>
      </c>
      <c r="Q10" s="1041" t="s">
        <v>1127</v>
      </c>
      <c r="R10" s="1035"/>
      <c r="S10" s="1027">
        <v>5</v>
      </c>
      <c r="T10" s="1028" t="s">
        <v>599</v>
      </c>
      <c r="U10" s="1036" t="s">
        <v>1127</v>
      </c>
      <c r="V10" s="1037" t="s">
        <v>1127</v>
      </c>
      <c r="W10" s="1038" t="s">
        <v>1127</v>
      </c>
      <c r="X10" s="1036">
        <v>9</v>
      </c>
      <c r="Y10" s="1037">
        <v>5.0000000000000001E-3</v>
      </c>
      <c r="Z10" s="1038">
        <v>576.77</v>
      </c>
      <c r="AA10" s="1036" t="s">
        <v>1127</v>
      </c>
      <c r="AB10" s="1037" t="s">
        <v>1127</v>
      </c>
      <c r="AC10" s="1041" t="s">
        <v>1127</v>
      </c>
      <c r="AD10" s="1036" t="s">
        <v>1127</v>
      </c>
      <c r="AE10" s="1037" t="s">
        <v>1127</v>
      </c>
      <c r="AF10" s="1038" t="s">
        <v>1127</v>
      </c>
      <c r="AG10" s="1036"/>
      <c r="AH10" s="1037"/>
      <c r="AI10" s="1041"/>
      <c r="AJ10" s="1039"/>
      <c r="AK10" s="1027">
        <v>5</v>
      </c>
      <c r="AL10" s="1040" t="s">
        <v>599</v>
      </c>
      <c r="AM10" s="1036">
        <v>27</v>
      </c>
      <c r="AN10" s="1037">
        <v>1.7000000000000001E-2</v>
      </c>
      <c r="AO10" s="1038">
        <v>639.36</v>
      </c>
      <c r="AP10" s="1036" t="s">
        <v>1127</v>
      </c>
      <c r="AQ10" s="1037" t="s">
        <v>1127</v>
      </c>
      <c r="AR10" s="1038" t="s">
        <v>1127</v>
      </c>
      <c r="AS10" s="1036" t="s">
        <v>1127</v>
      </c>
      <c r="AT10" s="1037" t="s">
        <v>1127</v>
      </c>
      <c r="AU10" s="1038" t="s">
        <v>1127</v>
      </c>
      <c r="AV10" s="1036" t="s">
        <v>1127</v>
      </c>
      <c r="AW10" s="1037" t="s">
        <v>1127</v>
      </c>
      <c r="AX10" s="1041" t="s">
        <v>1127</v>
      </c>
    </row>
    <row r="11" spans="1:50" s="46" customFormat="1" ht="18.95" customHeight="1">
      <c r="A11" s="1027">
        <v>6</v>
      </c>
      <c r="B11" s="1028" t="s">
        <v>771</v>
      </c>
      <c r="C11" s="1042" t="s">
        <v>1127</v>
      </c>
      <c r="D11" s="1043" t="s">
        <v>1127</v>
      </c>
      <c r="E11" s="1149" t="s">
        <v>1127</v>
      </c>
      <c r="F11" s="1036">
        <v>2109</v>
      </c>
      <c r="G11" s="1037">
        <v>5.7809999999999997</v>
      </c>
      <c r="H11" s="1038">
        <v>2741.09</v>
      </c>
      <c r="I11" s="1036" t="s">
        <v>1127</v>
      </c>
      <c r="J11" s="1037" t="s">
        <v>1127</v>
      </c>
      <c r="K11" s="1038" t="s">
        <v>1127</v>
      </c>
      <c r="L11" s="1036">
        <v>5</v>
      </c>
      <c r="M11" s="1037">
        <v>1.2E-2</v>
      </c>
      <c r="N11" s="1038">
        <v>2418.14</v>
      </c>
      <c r="O11" s="1036" t="s">
        <v>1127</v>
      </c>
      <c r="P11" s="1037" t="s">
        <v>1127</v>
      </c>
      <c r="Q11" s="1041" t="s">
        <v>1127</v>
      </c>
      <c r="R11" s="1035"/>
      <c r="S11" s="1027">
        <v>6</v>
      </c>
      <c r="T11" s="1028" t="s">
        <v>771</v>
      </c>
      <c r="U11" s="1036" t="s">
        <v>1127</v>
      </c>
      <c r="V11" s="1037" t="s">
        <v>1127</v>
      </c>
      <c r="W11" s="1038" t="s">
        <v>1127</v>
      </c>
      <c r="X11" s="1036">
        <v>8</v>
      </c>
      <c r="Y11" s="1037">
        <v>8.9999999999999993E-3</v>
      </c>
      <c r="Z11" s="1038">
        <v>1091.07</v>
      </c>
      <c r="AA11" s="1036" t="s">
        <v>1127</v>
      </c>
      <c r="AB11" s="1037" t="s">
        <v>1127</v>
      </c>
      <c r="AC11" s="1041" t="s">
        <v>1127</v>
      </c>
      <c r="AD11" s="1036" t="s">
        <v>1127</v>
      </c>
      <c r="AE11" s="1037" t="s">
        <v>1127</v>
      </c>
      <c r="AF11" s="1038" t="s">
        <v>1127</v>
      </c>
      <c r="AG11" s="1036">
        <v>1</v>
      </c>
      <c r="AH11" s="1137" t="s">
        <v>1127</v>
      </c>
      <c r="AI11" s="1041">
        <v>471.03</v>
      </c>
      <c r="AJ11" s="1039"/>
      <c r="AK11" s="1027">
        <v>6</v>
      </c>
      <c r="AL11" s="1028" t="s">
        <v>771</v>
      </c>
      <c r="AM11" s="1036">
        <v>1500</v>
      </c>
      <c r="AN11" s="1037">
        <v>1.3759999999999999</v>
      </c>
      <c r="AO11" s="1038">
        <v>917.65</v>
      </c>
      <c r="AP11" s="1036" t="s">
        <v>1127</v>
      </c>
      <c r="AQ11" s="1037" t="s">
        <v>1127</v>
      </c>
      <c r="AR11" s="1038" t="s">
        <v>1127</v>
      </c>
      <c r="AS11" s="1036">
        <v>1010</v>
      </c>
      <c r="AT11" s="1037">
        <v>29539</v>
      </c>
      <c r="AU11" s="1038">
        <v>29247</v>
      </c>
      <c r="AV11" s="1036" t="s">
        <v>1127</v>
      </c>
      <c r="AW11" s="1037" t="s">
        <v>1127</v>
      </c>
      <c r="AX11" s="1041" t="s">
        <v>1127</v>
      </c>
    </row>
    <row r="12" spans="1:50" s="46" customFormat="1" ht="18.95" customHeight="1">
      <c r="A12" s="1027">
        <v>7</v>
      </c>
      <c r="B12" s="1028" t="s">
        <v>600</v>
      </c>
      <c r="C12" s="1048">
        <v>300</v>
      </c>
      <c r="D12" s="709">
        <v>0.85299999999999998</v>
      </c>
      <c r="E12" s="1044">
        <v>2844.55</v>
      </c>
      <c r="F12" s="1036">
        <v>16611</v>
      </c>
      <c r="G12" s="1037">
        <v>44.594000000000001</v>
      </c>
      <c r="H12" s="1038">
        <v>2684.62</v>
      </c>
      <c r="I12" s="1036">
        <v>122</v>
      </c>
      <c r="J12" s="1037">
        <v>0.41399999999999998</v>
      </c>
      <c r="K12" s="1038">
        <v>3396.62</v>
      </c>
      <c r="L12" s="1036">
        <v>195</v>
      </c>
      <c r="M12" s="1037">
        <v>0.34499999999999997</v>
      </c>
      <c r="N12" s="1038">
        <v>1771.63</v>
      </c>
      <c r="O12" s="1036" t="s">
        <v>1127</v>
      </c>
      <c r="P12" s="1037" t="s">
        <v>1127</v>
      </c>
      <c r="Q12" s="1041" t="s">
        <v>1127</v>
      </c>
      <c r="R12" s="1035"/>
      <c r="S12" s="1027">
        <v>7</v>
      </c>
      <c r="T12" s="1028" t="s">
        <v>600</v>
      </c>
      <c r="U12" s="1036" t="s">
        <v>1127</v>
      </c>
      <c r="V12" s="1037" t="s">
        <v>1127</v>
      </c>
      <c r="W12" s="1038" t="s">
        <v>1127</v>
      </c>
      <c r="X12" s="1036">
        <v>5</v>
      </c>
      <c r="Y12" s="1037">
        <v>2E-3</v>
      </c>
      <c r="Z12" s="1038">
        <v>470.25</v>
      </c>
      <c r="AA12" s="1036" t="s">
        <v>1127</v>
      </c>
      <c r="AB12" s="1037" t="s">
        <v>1127</v>
      </c>
      <c r="AC12" s="1038" t="s">
        <v>1127</v>
      </c>
      <c r="AD12" s="1036" t="s">
        <v>1127</v>
      </c>
      <c r="AE12" s="1037" t="s">
        <v>1127</v>
      </c>
      <c r="AF12" s="1038" t="s">
        <v>1127</v>
      </c>
      <c r="AG12" s="1036">
        <v>1</v>
      </c>
      <c r="AH12" s="1037">
        <v>1E-3</v>
      </c>
      <c r="AI12" s="1041">
        <v>803.61</v>
      </c>
      <c r="AJ12" s="1049"/>
      <c r="AK12" s="1027">
        <v>7</v>
      </c>
      <c r="AL12" s="1040" t="s">
        <v>600</v>
      </c>
      <c r="AM12" s="1036">
        <v>95</v>
      </c>
      <c r="AN12" s="1037">
        <v>3.5000000000000003E-2</v>
      </c>
      <c r="AO12" s="1038">
        <v>372.29</v>
      </c>
      <c r="AP12" s="1036">
        <v>246</v>
      </c>
      <c r="AQ12" s="1037">
        <v>0.193</v>
      </c>
      <c r="AR12" s="1038">
        <v>782.63</v>
      </c>
      <c r="AS12" s="1036">
        <v>2135</v>
      </c>
      <c r="AT12" s="1037">
        <v>69208</v>
      </c>
      <c r="AU12" s="1038">
        <v>32416</v>
      </c>
      <c r="AV12" s="1036" t="s">
        <v>1127</v>
      </c>
      <c r="AW12" s="1037" t="s">
        <v>1127</v>
      </c>
      <c r="AX12" s="1041" t="s">
        <v>1127</v>
      </c>
    </row>
    <row r="13" spans="1:50" s="46" customFormat="1" ht="18.95" customHeight="1">
      <c r="A13" s="1027">
        <v>8</v>
      </c>
      <c r="B13" s="1028" t="s">
        <v>602</v>
      </c>
      <c r="C13" s="1048">
        <v>2246</v>
      </c>
      <c r="D13" s="709">
        <v>6.5250000000000004</v>
      </c>
      <c r="E13" s="1044">
        <v>2905.25</v>
      </c>
      <c r="F13" s="1036">
        <v>19947</v>
      </c>
      <c r="G13" s="1037">
        <v>53.122</v>
      </c>
      <c r="H13" s="1038">
        <v>2663.13</v>
      </c>
      <c r="I13" s="1036">
        <v>5020</v>
      </c>
      <c r="J13" s="1037">
        <v>15.395</v>
      </c>
      <c r="K13" s="1038">
        <v>3066.77</v>
      </c>
      <c r="L13" s="1036">
        <v>327</v>
      </c>
      <c r="M13" s="1037">
        <v>0.96899999999999997</v>
      </c>
      <c r="N13" s="1038">
        <v>2961.96</v>
      </c>
      <c r="O13" s="1036" t="s">
        <v>1127</v>
      </c>
      <c r="P13" s="1037" t="s">
        <v>1127</v>
      </c>
      <c r="Q13" s="1041" t="s">
        <v>1127</v>
      </c>
      <c r="R13" s="1035"/>
      <c r="S13" s="1027">
        <v>8</v>
      </c>
      <c r="T13" s="1028" t="s">
        <v>602</v>
      </c>
      <c r="U13" s="1036" t="s">
        <v>1127</v>
      </c>
      <c r="V13" s="1037" t="s">
        <v>1127</v>
      </c>
      <c r="W13" s="1038" t="s">
        <v>1127</v>
      </c>
      <c r="X13" s="1036">
        <v>6</v>
      </c>
      <c r="Y13" s="1037">
        <v>6.0000000000000001E-3</v>
      </c>
      <c r="Z13" s="1038">
        <v>1081.81</v>
      </c>
      <c r="AA13" s="1036" t="s">
        <v>1127</v>
      </c>
      <c r="AB13" s="1037" t="s">
        <v>1127</v>
      </c>
      <c r="AC13" s="1041" t="s">
        <v>1127</v>
      </c>
      <c r="AD13" s="1036" t="s">
        <v>1127</v>
      </c>
      <c r="AE13" s="1037" t="s">
        <v>1127</v>
      </c>
      <c r="AF13" s="1038" t="s">
        <v>1127</v>
      </c>
      <c r="AG13" s="1036">
        <v>1</v>
      </c>
      <c r="AH13" s="1037">
        <v>1E-3</v>
      </c>
      <c r="AI13" s="1041">
        <v>834.66</v>
      </c>
      <c r="AJ13" s="1039"/>
      <c r="AK13" s="1027">
        <v>8</v>
      </c>
      <c r="AL13" s="1040" t="s">
        <v>602</v>
      </c>
      <c r="AM13" s="1036">
        <v>1322</v>
      </c>
      <c r="AN13" s="1037">
        <v>1.363</v>
      </c>
      <c r="AO13" s="1038">
        <v>1030.8599999999999</v>
      </c>
      <c r="AP13" s="1036">
        <v>2453</v>
      </c>
      <c r="AQ13" s="1037">
        <v>2.31</v>
      </c>
      <c r="AR13" s="1038">
        <v>942</v>
      </c>
      <c r="AS13" s="1036">
        <v>1984</v>
      </c>
      <c r="AT13" s="1037">
        <v>44557</v>
      </c>
      <c r="AU13" s="1038">
        <v>22458</v>
      </c>
      <c r="AV13" s="1036"/>
      <c r="AW13" s="1037"/>
      <c r="AX13" s="1041"/>
    </row>
    <row r="14" spans="1:50" s="46" customFormat="1" ht="18.95" customHeight="1">
      <c r="A14" s="1027">
        <v>9</v>
      </c>
      <c r="B14" s="1028" t="s">
        <v>605</v>
      </c>
      <c r="C14" s="1042" t="s">
        <v>1127</v>
      </c>
      <c r="D14" s="1043" t="s">
        <v>1127</v>
      </c>
      <c r="E14" s="1149" t="s">
        <v>1127</v>
      </c>
      <c r="F14" s="1050">
        <v>1611</v>
      </c>
      <c r="G14" s="1051">
        <v>3.573</v>
      </c>
      <c r="H14" s="1052">
        <v>2217.98</v>
      </c>
      <c r="I14" s="1036" t="s">
        <v>1127</v>
      </c>
      <c r="J14" s="1037" t="s">
        <v>1127</v>
      </c>
      <c r="K14" s="1038" t="s">
        <v>1127</v>
      </c>
      <c r="L14" s="1036">
        <v>128</v>
      </c>
      <c r="M14" s="1037">
        <v>0.28399999999999997</v>
      </c>
      <c r="N14" s="1038">
        <v>2221.2399999999998</v>
      </c>
      <c r="O14" s="1036" t="s">
        <v>1127</v>
      </c>
      <c r="P14" s="1037" t="s">
        <v>1127</v>
      </c>
      <c r="Q14" s="1041" t="s">
        <v>1127</v>
      </c>
      <c r="R14" s="1035"/>
      <c r="S14" s="1027">
        <v>9</v>
      </c>
      <c r="T14" s="1028" t="s">
        <v>605</v>
      </c>
      <c r="U14" s="1036" t="s">
        <v>1127</v>
      </c>
      <c r="V14" s="1037" t="s">
        <v>1127</v>
      </c>
      <c r="W14" s="1038" t="s">
        <v>1127</v>
      </c>
      <c r="X14" s="1036">
        <v>10</v>
      </c>
      <c r="Y14" s="1037">
        <v>5.0000000000000001E-3</v>
      </c>
      <c r="Z14" s="1038">
        <v>491.78</v>
      </c>
      <c r="AA14" s="1036" t="s">
        <v>1127</v>
      </c>
      <c r="AB14" s="1037" t="s">
        <v>1127</v>
      </c>
      <c r="AC14" s="1041" t="s">
        <v>1127</v>
      </c>
      <c r="AD14" s="1036" t="s">
        <v>1127</v>
      </c>
      <c r="AE14" s="1037" t="s">
        <v>1127</v>
      </c>
      <c r="AF14" s="1038" t="s">
        <v>1127</v>
      </c>
      <c r="AG14" s="1036">
        <v>1</v>
      </c>
      <c r="AH14" s="1137" t="s">
        <v>1127</v>
      </c>
      <c r="AI14" s="1041">
        <v>453.83</v>
      </c>
      <c r="AJ14" s="1039"/>
      <c r="AK14" s="1027">
        <v>9</v>
      </c>
      <c r="AL14" s="1040" t="s">
        <v>605</v>
      </c>
      <c r="AM14" s="1036">
        <v>228</v>
      </c>
      <c r="AN14" s="1037">
        <v>0.10199999999999999</v>
      </c>
      <c r="AO14" s="1038">
        <v>445.65</v>
      </c>
      <c r="AP14" s="1036">
        <v>98</v>
      </c>
      <c r="AQ14" s="1037">
        <v>5.5E-2</v>
      </c>
      <c r="AR14" s="1038">
        <v>556.89</v>
      </c>
      <c r="AS14" s="1036">
        <v>7</v>
      </c>
      <c r="AT14" s="1037">
        <v>182</v>
      </c>
      <c r="AU14" s="1038">
        <v>26000</v>
      </c>
      <c r="AV14" s="1036" t="s">
        <v>1127</v>
      </c>
      <c r="AW14" s="1037" t="s">
        <v>1127</v>
      </c>
      <c r="AX14" s="1041" t="s">
        <v>1127</v>
      </c>
    </row>
    <row r="15" spans="1:50" s="46" customFormat="1" ht="18.95" customHeight="1">
      <c r="A15" s="1027">
        <v>10</v>
      </c>
      <c r="B15" s="1028" t="s">
        <v>604</v>
      </c>
      <c r="C15" s="1042" t="s">
        <v>1127</v>
      </c>
      <c r="D15" s="1043" t="s">
        <v>1127</v>
      </c>
      <c r="E15" s="1149" t="s">
        <v>1127</v>
      </c>
      <c r="F15" s="1036">
        <v>9222</v>
      </c>
      <c r="G15" s="1037">
        <v>22.77</v>
      </c>
      <c r="H15" s="1038">
        <v>2469.13</v>
      </c>
      <c r="I15" s="1036">
        <v>973</v>
      </c>
      <c r="J15" s="1037">
        <v>2.552</v>
      </c>
      <c r="K15" s="1038">
        <v>2623.13</v>
      </c>
      <c r="L15" s="1036">
        <v>51</v>
      </c>
      <c r="M15" s="1037">
        <v>0.121</v>
      </c>
      <c r="N15" s="1038">
        <v>2367.44</v>
      </c>
      <c r="O15" s="1036" t="s">
        <v>1127</v>
      </c>
      <c r="P15" s="1037" t="s">
        <v>1127</v>
      </c>
      <c r="Q15" s="1041" t="s">
        <v>1127</v>
      </c>
      <c r="R15" s="1035"/>
      <c r="S15" s="1027">
        <v>10</v>
      </c>
      <c r="T15" s="1028" t="s">
        <v>604</v>
      </c>
      <c r="U15" s="1036" t="s">
        <v>1127</v>
      </c>
      <c r="V15" s="1037" t="s">
        <v>1127</v>
      </c>
      <c r="W15" s="1038" t="s">
        <v>1127</v>
      </c>
      <c r="X15" s="1036">
        <v>4</v>
      </c>
      <c r="Y15" s="1037">
        <v>2E-3</v>
      </c>
      <c r="Z15" s="1038">
        <v>388.39</v>
      </c>
      <c r="AA15" s="1036" t="s">
        <v>1127</v>
      </c>
      <c r="AB15" s="1037" t="s">
        <v>1127</v>
      </c>
      <c r="AC15" s="1041" t="s">
        <v>1127</v>
      </c>
      <c r="AD15" s="1036" t="s">
        <v>1127</v>
      </c>
      <c r="AE15" s="1037" t="s">
        <v>1127</v>
      </c>
      <c r="AF15" s="1038" t="s">
        <v>1127</v>
      </c>
      <c r="AG15" s="1036">
        <v>1</v>
      </c>
      <c r="AH15" s="1037">
        <v>1E-3</v>
      </c>
      <c r="AI15" s="1041">
        <v>811.19</v>
      </c>
      <c r="AJ15" s="1039"/>
      <c r="AK15" s="1027">
        <v>10</v>
      </c>
      <c r="AL15" s="1040" t="s">
        <v>604</v>
      </c>
      <c r="AM15" s="1036">
        <v>316</v>
      </c>
      <c r="AN15" s="1037">
        <v>0.20799999999999999</v>
      </c>
      <c r="AO15" s="1038">
        <v>658.69</v>
      </c>
      <c r="AP15" s="1036">
        <v>53</v>
      </c>
      <c r="AQ15" s="1037">
        <v>4.5999999999999999E-2</v>
      </c>
      <c r="AR15" s="1038">
        <v>873.03</v>
      </c>
      <c r="AS15" s="1036">
        <v>25</v>
      </c>
      <c r="AT15" s="1037">
        <v>694</v>
      </c>
      <c r="AU15" s="1038">
        <v>27765</v>
      </c>
      <c r="AV15" s="1036" t="s">
        <v>1127</v>
      </c>
      <c r="AW15" s="1037" t="s">
        <v>1127</v>
      </c>
      <c r="AX15" s="1041" t="s">
        <v>1127</v>
      </c>
    </row>
    <row r="16" spans="1:50" s="46" customFormat="1" ht="18.95" customHeight="1">
      <c r="A16" s="1027">
        <v>11</v>
      </c>
      <c r="B16" s="1028" t="s">
        <v>368</v>
      </c>
      <c r="C16" s="1042" t="s">
        <v>1127</v>
      </c>
      <c r="D16" s="1043" t="s">
        <v>1127</v>
      </c>
      <c r="E16" s="1149" t="s">
        <v>1127</v>
      </c>
      <c r="F16" s="1036">
        <v>7829</v>
      </c>
      <c r="G16" s="1037">
        <v>19.285</v>
      </c>
      <c r="H16" s="1038">
        <v>2463.25</v>
      </c>
      <c r="I16" s="1036" t="s">
        <v>1127</v>
      </c>
      <c r="J16" s="1037" t="s">
        <v>1127</v>
      </c>
      <c r="K16" s="1038" t="s">
        <v>1127</v>
      </c>
      <c r="L16" s="1036">
        <v>50</v>
      </c>
      <c r="M16" s="1037">
        <v>0.107</v>
      </c>
      <c r="N16" s="1038">
        <v>2146.5300000000002</v>
      </c>
      <c r="O16" s="1047" t="s">
        <v>1127</v>
      </c>
      <c r="P16" s="1053" t="s">
        <v>1127</v>
      </c>
      <c r="Q16" s="1041"/>
      <c r="R16" s="1035"/>
      <c r="S16" s="1027">
        <v>11</v>
      </c>
      <c r="T16" s="1028" t="s">
        <v>368</v>
      </c>
      <c r="U16" s="1036" t="s">
        <v>1127</v>
      </c>
      <c r="V16" s="1037" t="s">
        <v>1127</v>
      </c>
      <c r="W16" s="1038" t="s">
        <v>1127</v>
      </c>
      <c r="X16" s="1036">
        <v>2</v>
      </c>
      <c r="Y16" s="1037">
        <v>1E-3</v>
      </c>
      <c r="Z16" s="1038">
        <v>534.23</v>
      </c>
      <c r="AA16" s="1036" t="s">
        <v>1127</v>
      </c>
      <c r="AB16" s="1037" t="s">
        <v>1127</v>
      </c>
      <c r="AC16" s="1041" t="s">
        <v>1127</v>
      </c>
      <c r="AD16" s="1036" t="s">
        <v>1127</v>
      </c>
      <c r="AE16" s="1037" t="s">
        <v>1127</v>
      </c>
      <c r="AF16" s="1038" t="s">
        <v>1127</v>
      </c>
      <c r="AG16" s="1036">
        <v>1</v>
      </c>
      <c r="AH16" s="1037">
        <v>1E-3</v>
      </c>
      <c r="AI16" s="1041">
        <v>795.96</v>
      </c>
      <c r="AJ16" s="1039"/>
      <c r="AK16" s="1027">
        <v>11</v>
      </c>
      <c r="AL16" s="1040" t="s">
        <v>368</v>
      </c>
      <c r="AM16" s="1036">
        <v>322</v>
      </c>
      <c r="AN16" s="1037">
        <v>0.27200000000000002</v>
      </c>
      <c r="AO16" s="1038">
        <v>844.58</v>
      </c>
      <c r="AP16" s="1036">
        <v>144</v>
      </c>
      <c r="AQ16" s="1037">
        <v>8.5999999999999993E-2</v>
      </c>
      <c r="AR16" s="1038">
        <v>600.67999999999995</v>
      </c>
      <c r="AS16" s="1036">
        <v>53</v>
      </c>
      <c r="AT16" s="1037">
        <v>1431</v>
      </c>
      <c r="AU16" s="1038">
        <v>27000</v>
      </c>
      <c r="AV16" s="1036" t="s">
        <v>1127</v>
      </c>
      <c r="AW16" s="1037" t="s">
        <v>1127</v>
      </c>
      <c r="AX16" s="1041" t="s">
        <v>1127</v>
      </c>
    </row>
    <row r="17" spans="1:50" s="46" customFormat="1" ht="18.95" customHeight="1">
      <c r="A17" s="1027">
        <v>12</v>
      </c>
      <c r="B17" s="1028" t="s">
        <v>606</v>
      </c>
      <c r="C17" s="1048">
        <v>74</v>
      </c>
      <c r="D17" s="709">
        <v>0.11</v>
      </c>
      <c r="E17" s="1044">
        <v>1481.29</v>
      </c>
      <c r="F17" s="1036">
        <v>17982</v>
      </c>
      <c r="G17" s="1037">
        <v>46.198999999999998</v>
      </c>
      <c r="H17" s="1038">
        <v>2569.19</v>
      </c>
      <c r="I17" s="1036" t="s">
        <v>1127</v>
      </c>
      <c r="J17" s="1037" t="s">
        <v>1127</v>
      </c>
      <c r="K17" s="1038" t="s">
        <v>1127</v>
      </c>
      <c r="L17" s="1036">
        <v>9</v>
      </c>
      <c r="M17" s="1037">
        <v>1.6E-2</v>
      </c>
      <c r="N17" s="1038">
        <v>1734.35</v>
      </c>
      <c r="O17" s="1036">
        <v>112</v>
      </c>
      <c r="P17" s="1037">
        <v>0.20599999999999999</v>
      </c>
      <c r="Q17" s="1041">
        <v>1840.68</v>
      </c>
      <c r="R17" s="1035"/>
      <c r="S17" s="1027">
        <v>12</v>
      </c>
      <c r="T17" s="1028" t="s">
        <v>606</v>
      </c>
      <c r="U17" s="1036" t="s">
        <v>1127</v>
      </c>
      <c r="V17" s="1037" t="s">
        <v>1127</v>
      </c>
      <c r="W17" s="1038" t="s">
        <v>1127</v>
      </c>
      <c r="X17" s="1036" t="s">
        <v>1127</v>
      </c>
      <c r="Y17" s="1037" t="s">
        <v>1127</v>
      </c>
      <c r="Z17" s="1038" t="s">
        <v>1127</v>
      </c>
      <c r="AA17" s="1036" t="s">
        <v>1127</v>
      </c>
      <c r="AB17" s="1037" t="s">
        <v>1127</v>
      </c>
      <c r="AC17" s="1041" t="s">
        <v>1127</v>
      </c>
      <c r="AD17" s="1036" t="s">
        <v>1127</v>
      </c>
      <c r="AE17" s="1037" t="s">
        <v>1127</v>
      </c>
      <c r="AF17" s="1038" t="s">
        <v>1127</v>
      </c>
      <c r="AG17" s="1036">
        <v>1</v>
      </c>
      <c r="AH17" s="1037">
        <v>1E-3</v>
      </c>
      <c r="AI17" s="1041">
        <v>816.73</v>
      </c>
      <c r="AJ17" s="1039"/>
      <c r="AK17" s="1027">
        <v>12</v>
      </c>
      <c r="AL17" s="1040" t="s">
        <v>606</v>
      </c>
      <c r="AM17" s="1036">
        <v>444</v>
      </c>
      <c r="AN17" s="1037">
        <v>0.41099999999999998</v>
      </c>
      <c r="AO17" s="1038">
        <v>926.28</v>
      </c>
      <c r="AP17" s="1036" t="s">
        <v>1127</v>
      </c>
      <c r="AQ17" s="1037" t="s">
        <v>1127</v>
      </c>
      <c r="AR17" s="1038" t="s">
        <v>1127</v>
      </c>
      <c r="AS17" s="1036">
        <v>207</v>
      </c>
      <c r="AT17" s="1037">
        <v>6052</v>
      </c>
      <c r="AU17" s="1038">
        <v>29235</v>
      </c>
      <c r="AV17" s="1036" t="s">
        <v>1127</v>
      </c>
      <c r="AW17" s="1037" t="s">
        <v>1127</v>
      </c>
      <c r="AX17" s="1041" t="s">
        <v>1127</v>
      </c>
    </row>
    <row r="18" spans="1:50" s="46" customFormat="1" ht="18.95" customHeight="1">
      <c r="A18" s="1027">
        <v>13</v>
      </c>
      <c r="B18" s="1028" t="s">
        <v>347</v>
      </c>
      <c r="C18" s="1048">
        <v>1921</v>
      </c>
      <c r="D18" s="709">
        <v>4.4240000000000004</v>
      </c>
      <c r="E18" s="1044">
        <v>2303.15</v>
      </c>
      <c r="F18" s="1036">
        <v>1922</v>
      </c>
      <c r="G18" s="1037">
        <v>4.4290000000000003</v>
      </c>
      <c r="H18" s="1038">
        <v>2304.29</v>
      </c>
      <c r="I18" s="1036">
        <v>503</v>
      </c>
      <c r="J18" s="1037">
        <v>1.474</v>
      </c>
      <c r="K18" s="1038">
        <v>2929.57</v>
      </c>
      <c r="L18" s="1036">
        <v>329</v>
      </c>
      <c r="M18" s="1037">
        <v>0.54900000000000004</v>
      </c>
      <c r="N18" s="1038">
        <v>1668.71</v>
      </c>
      <c r="O18" s="1036" t="s">
        <v>1127</v>
      </c>
      <c r="P18" s="1037" t="s">
        <v>1127</v>
      </c>
      <c r="Q18" s="1041" t="s">
        <v>1127</v>
      </c>
      <c r="R18" s="1035"/>
      <c r="S18" s="1027">
        <v>13</v>
      </c>
      <c r="T18" s="1028" t="s">
        <v>347</v>
      </c>
      <c r="U18" s="1036" t="s">
        <v>1127</v>
      </c>
      <c r="V18" s="1037" t="s">
        <v>1127</v>
      </c>
      <c r="W18" s="1038" t="s">
        <v>1127</v>
      </c>
      <c r="X18" s="1036">
        <v>5</v>
      </c>
      <c r="Y18" s="1037">
        <v>3.0000000000000001E-3</v>
      </c>
      <c r="Z18" s="1038">
        <v>553.21</v>
      </c>
      <c r="AA18" s="1036" t="s">
        <v>1127</v>
      </c>
      <c r="AB18" s="1037" t="s">
        <v>1127</v>
      </c>
      <c r="AC18" s="1041" t="s">
        <v>1127</v>
      </c>
      <c r="AD18" s="1036" t="s">
        <v>1127</v>
      </c>
      <c r="AE18" s="1037" t="s">
        <v>1127</v>
      </c>
      <c r="AF18" s="1038" t="s">
        <v>1127</v>
      </c>
      <c r="AG18" s="1036">
        <v>1</v>
      </c>
      <c r="AH18" s="1037">
        <v>1E-3</v>
      </c>
      <c r="AI18" s="1041">
        <v>817.42</v>
      </c>
      <c r="AJ18" s="1039"/>
      <c r="AK18" s="1027">
        <v>13</v>
      </c>
      <c r="AL18" s="1040" t="s">
        <v>347</v>
      </c>
      <c r="AM18" s="1036">
        <v>551</v>
      </c>
      <c r="AN18" s="1037">
        <v>0.3</v>
      </c>
      <c r="AO18" s="1038">
        <v>545.07000000000005</v>
      </c>
      <c r="AP18" s="1036">
        <v>1415</v>
      </c>
      <c r="AQ18" s="1037">
        <v>0.86199999999999999</v>
      </c>
      <c r="AR18" s="1038">
        <v>609.08000000000004</v>
      </c>
      <c r="AS18" s="1036">
        <v>879</v>
      </c>
      <c r="AT18" s="1037">
        <v>11080</v>
      </c>
      <c r="AU18" s="1038">
        <v>12605</v>
      </c>
      <c r="AV18" s="1036" t="s">
        <v>1127</v>
      </c>
      <c r="AW18" s="1037" t="s">
        <v>1127</v>
      </c>
      <c r="AX18" s="1041" t="s">
        <v>1127</v>
      </c>
    </row>
    <row r="19" spans="1:50" s="46" customFormat="1" ht="18.95" customHeight="1">
      <c r="A19" s="1027">
        <v>14</v>
      </c>
      <c r="B19" s="1028" t="s">
        <v>369</v>
      </c>
      <c r="C19" s="1048">
        <v>65</v>
      </c>
      <c r="D19" s="709">
        <v>0.18099999999999999</v>
      </c>
      <c r="E19" s="1044">
        <v>2781.13</v>
      </c>
      <c r="F19" s="1036">
        <v>34047</v>
      </c>
      <c r="G19" s="1037">
        <v>99.087000000000003</v>
      </c>
      <c r="H19" s="1038">
        <v>2910.31</v>
      </c>
      <c r="I19" s="1036">
        <v>1239</v>
      </c>
      <c r="J19" s="1037">
        <v>3.29</v>
      </c>
      <c r="K19" s="1038">
        <v>2655.37</v>
      </c>
      <c r="L19" s="1036">
        <v>105</v>
      </c>
      <c r="M19" s="1037">
        <v>0.23699999999999999</v>
      </c>
      <c r="N19" s="1038">
        <v>2260.9699999999998</v>
      </c>
      <c r="O19" s="1036">
        <v>3</v>
      </c>
      <c r="P19" s="1037">
        <v>6.0000000000000001E-3</v>
      </c>
      <c r="Q19" s="1041">
        <v>1840.68</v>
      </c>
      <c r="R19" s="1035"/>
      <c r="S19" s="1027">
        <v>14</v>
      </c>
      <c r="T19" s="1028" t="s">
        <v>369</v>
      </c>
      <c r="U19" s="1036" t="s">
        <v>1127</v>
      </c>
      <c r="V19" s="1037" t="s">
        <v>1127</v>
      </c>
      <c r="W19" s="1038" t="s">
        <v>1127</v>
      </c>
      <c r="X19" s="1036" t="s">
        <v>1127</v>
      </c>
      <c r="Y19" s="1037" t="s">
        <v>1127</v>
      </c>
      <c r="Z19" s="1038" t="s">
        <v>1127</v>
      </c>
      <c r="AA19" s="1036" t="s">
        <v>1127</v>
      </c>
      <c r="AB19" s="1037" t="s">
        <v>1127</v>
      </c>
      <c r="AC19" s="1041" t="s">
        <v>1127</v>
      </c>
      <c r="AD19" s="1036" t="s">
        <v>1127</v>
      </c>
      <c r="AE19" s="1037" t="s">
        <v>1127</v>
      </c>
      <c r="AF19" s="1038" t="s">
        <v>1127</v>
      </c>
      <c r="AG19" s="1036" t="s">
        <v>1127</v>
      </c>
      <c r="AH19" s="1037" t="s">
        <v>1127</v>
      </c>
      <c r="AI19" s="1041" t="s">
        <v>1127</v>
      </c>
      <c r="AJ19" s="1039"/>
      <c r="AK19" s="1027">
        <v>14</v>
      </c>
      <c r="AL19" s="1040" t="s">
        <v>369</v>
      </c>
      <c r="AM19" s="1036">
        <v>588</v>
      </c>
      <c r="AN19" s="1037">
        <v>0.41399999999999998</v>
      </c>
      <c r="AO19" s="1038">
        <v>704.32</v>
      </c>
      <c r="AP19" s="1036">
        <v>971</v>
      </c>
      <c r="AQ19" s="1037">
        <v>0.84599999999999997</v>
      </c>
      <c r="AR19" s="1038">
        <v>871.36</v>
      </c>
      <c r="AS19" s="1036">
        <v>2214</v>
      </c>
      <c r="AT19" s="1037">
        <v>40671</v>
      </c>
      <c r="AU19" s="1038">
        <v>18370</v>
      </c>
      <c r="AV19" s="1036" t="s">
        <v>1127</v>
      </c>
      <c r="AW19" s="1037" t="s">
        <v>1127</v>
      </c>
      <c r="AX19" s="1041" t="s">
        <v>1127</v>
      </c>
    </row>
    <row r="20" spans="1:50" s="46" customFormat="1" ht="18.95" customHeight="1">
      <c r="A20" s="1027">
        <v>15</v>
      </c>
      <c r="B20" s="1028" t="s">
        <v>349</v>
      </c>
      <c r="C20" s="1048">
        <v>31</v>
      </c>
      <c r="D20" s="709">
        <v>8.4000000000000005E-2</v>
      </c>
      <c r="E20" s="1044">
        <v>2708.07</v>
      </c>
      <c r="F20" s="1036">
        <v>16373</v>
      </c>
      <c r="G20" s="1037">
        <v>44.43</v>
      </c>
      <c r="H20" s="1038">
        <v>2713.61</v>
      </c>
      <c r="I20" s="1036">
        <v>363</v>
      </c>
      <c r="J20" s="1037">
        <v>0.84</v>
      </c>
      <c r="K20" s="1038">
        <v>2315.06</v>
      </c>
      <c r="L20" s="1036">
        <v>666</v>
      </c>
      <c r="M20" s="1037">
        <v>0.93899999999999995</v>
      </c>
      <c r="N20" s="1038">
        <v>1409.66</v>
      </c>
      <c r="O20" s="1036">
        <v>2</v>
      </c>
      <c r="P20" s="1037">
        <v>4.0000000000000001E-3</v>
      </c>
      <c r="Q20" s="1041">
        <v>1840.68</v>
      </c>
      <c r="R20" s="1035"/>
      <c r="S20" s="1027">
        <v>15</v>
      </c>
      <c r="T20" s="1028" t="s">
        <v>349</v>
      </c>
      <c r="U20" s="1036" t="s">
        <v>1127</v>
      </c>
      <c r="V20" s="1037" t="s">
        <v>1127</v>
      </c>
      <c r="W20" s="1038" t="s">
        <v>1127</v>
      </c>
      <c r="X20" s="1036">
        <v>10</v>
      </c>
      <c r="Y20" s="1037">
        <v>3.0000000000000001E-3</v>
      </c>
      <c r="Z20" s="1038">
        <v>282.27</v>
      </c>
      <c r="AA20" s="1036">
        <v>5</v>
      </c>
      <c r="AB20" s="1037">
        <v>1E-3</v>
      </c>
      <c r="AC20" s="1041">
        <v>222.86</v>
      </c>
      <c r="AD20" s="1036" t="s">
        <v>1127</v>
      </c>
      <c r="AE20" s="1037" t="s">
        <v>1127</v>
      </c>
      <c r="AF20" s="1038" t="s">
        <v>1127</v>
      </c>
      <c r="AG20" s="1036">
        <v>1</v>
      </c>
      <c r="AH20" s="1037">
        <v>1E-3</v>
      </c>
      <c r="AI20" s="1041">
        <v>1024.06</v>
      </c>
      <c r="AJ20" s="1049"/>
      <c r="AK20" s="1027">
        <v>15</v>
      </c>
      <c r="AL20" s="1040" t="s">
        <v>349</v>
      </c>
      <c r="AM20" s="1036">
        <v>115</v>
      </c>
      <c r="AN20" s="1037">
        <v>5.6000000000000001E-2</v>
      </c>
      <c r="AO20" s="1038">
        <v>490.66</v>
      </c>
      <c r="AP20" s="1036">
        <v>2202</v>
      </c>
      <c r="AQ20" s="1037">
        <v>1.1060000000000001</v>
      </c>
      <c r="AR20" s="1038">
        <v>502.13</v>
      </c>
      <c r="AS20" s="1036">
        <v>1883</v>
      </c>
      <c r="AT20" s="1037">
        <v>39760</v>
      </c>
      <c r="AU20" s="1038">
        <v>21115</v>
      </c>
      <c r="AV20" s="1036">
        <v>1</v>
      </c>
      <c r="AW20" s="1037">
        <v>0.125</v>
      </c>
      <c r="AX20" s="1041">
        <v>125188.37</v>
      </c>
    </row>
    <row r="21" spans="1:50" s="46" customFormat="1" ht="18.95" customHeight="1">
      <c r="A21" s="1027">
        <v>16</v>
      </c>
      <c r="B21" s="1028" t="s">
        <v>370</v>
      </c>
      <c r="C21" s="1042" t="s">
        <v>1127</v>
      </c>
      <c r="D21" s="1043" t="s">
        <v>1127</v>
      </c>
      <c r="E21" s="1149" t="s">
        <v>1127</v>
      </c>
      <c r="F21" s="1036">
        <v>36541</v>
      </c>
      <c r="G21" s="1037">
        <v>102.82299999999999</v>
      </c>
      <c r="H21" s="1038">
        <v>2813.9</v>
      </c>
      <c r="I21" s="1036" t="s">
        <v>1127</v>
      </c>
      <c r="J21" s="1037" t="s">
        <v>1127</v>
      </c>
      <c r="K21" s="1038" t="s">
        <v>1127</v>
      </c>
      <c r="L21" s="1036">
        <v>142</v>
      </c>
      <c r="M21" s="1037">
        <v>0.308</v>
      </c>
      <c r="N21" s="1038">
        <v>2170.92</v>
      </c>
      <c r="O21" s="1036" t="s">
        <v>1127</v>
      </c>
      <c r="P21" s="1037" t="s">
        <v>1127</v>
      </c>
      <c r="Q21" s="1041" t="s">
        <v>1127</v>
      </c>
      <c r="R21" s="1035"/>
      <c r="S21" s="1027">
        <v>16</v>
      </c>
      <c r="T21" s="1028" t="s">
        <v>370</v>
      </c>
      <c r="U21" s="1036" t="s">
        <v>1127</v>
      </c>
      <c r="V21" s="1037" t="s">
        <v>1127</v>
      </c>
      <c r="W21" s="1038" t="s">
        <v>1127</v>
      </c>
      <c r="X21" s="1036">
        <v>5</v>
      </c>
      <c r="Y21" s="1037">
        <v>7.0000000000000001E-3</v>
      </c>
      <c r="Z21" s="1038">
        <v>1373.41</v>
      </c>
      <c r="AA21" s="1036" t="s">
        <v>1127</v>
      </c>
      <c r="AB21" s="1037" t="s">
        <v>1127</v>
      </c>
      <c r="AC21" s="1038" t="s">
        <v>1127</v>
      </c>
      <c r="AD21" s="1036" t="s">
        <v>1127</v>
      </c>
      <c r="AE21" s="1037" t="s">
        <v>1127</v>
      </c>
      <c r="AF21" s="1038" t="s">
        <v>1127</v>
      </c>
      <c r="AG21" s="1036">
        <v>1</v>
      </c>
      <c r="AH21" s="1037">
        <v>1E-3</v>
      </c>
      <c r="AI21" s="1041">
        <v>809.91</v>
      </c>
      <c r="AJ21" s="1039"/>
      <c r="AK21" s="1027">
        <v>16</v>
      </c>
      <c r="AL21" s="1040" t="s">
        <v>370</v>
      </c>
      <c r="AM21" s="1036">
        <v>835</v>
      </c>
      <c r="AN21" s="1037">
        <v>0.64500000000000002</v>
      </c>
      <c r="AO21" s="1038">
        <v>772.55</v>
      </c>
      <c r="AP21" s="1036">
        <v>287</v>
      </c>
      <c r="AQ21" s="1037">
        <v>0.192</v>
      </c>
      <c r="AR21" s="1038">
        <v>668.05</v>
      </c>
      <c r="AS21" s="1036">
        <v>1310</v>
      </c>
      <c r="AT21" s="1037">
        <v>22557</v>
      </c>
      <c r="AU21" s="1038">
        <v>17219</v>
      </c>
      <c r="AV21" s="1036" t="s">
        <v>1127</v>
      </c>
      <c r="AW21" s="1037" t="s">
        <v>1127</v>
      </c>
      <c r="AX21" s="1041" t="s">
        <v>1127</v>
      </c>
    </row>
    <row r="22" spans="1:50" s="46" customFormat="1" ht="18.95" customHeight="1">
      <c r="A22" s="1027">
        <v>17</v>
      </c>
      <c r="B22" s="1028" t="s">
        <v>350</v>
      </c>
      <c r="C22" s="1048">
        <v>236</v>
      </c>
      <c r="D22" s="1054">
        <v>0.35799999999999998</v>
      </c>
      <c r="E22" s="1046">
        <v>1514.99</v>
      </c>
      <c r="F22" s="1036">
        <v>37032</v>
      </c>
      <c r="G22" s="1037">
        <v>103.23399999999999</v>
      </c>
      <c r="H22" s="1038">
        <v>2787.71</v>
      </c>
      <c r="I22" s="1036">
        <v>561</v>
      </c>
      <c r="J22" s="1037">
        <v>1.7070000000000001</v>
      </c>
      <c r="K22" s="1038">
        <v>3042.37</v>
      </c>
      <c r="L22" s="1036">
        <v>14</v>
      </c>
      <c r="M22" s="1037">
        <v>0.03</v>
      </c>
      <c r="N22" s="1038">
        <v>2137.75</v>
      </c>
      <c r="O22" s="1036" t="s">
        <v>1127</v>
      </c>
      <c r="P22" s="1037" t="s">
        <v>1127</v>
      </c>
      <c r="Q22" s="1041" t="s">
        <v>1127</v>
      </c>
      <c r="R22" s="1035"/>
      <c r="S22" s="1027">
        <v>17</v>
      </c>
      <c r="T22" s="1028" t="s">
        <v>350</v>
      </c>
      <c r="U22" s="1036" t="s">
        <v>1127</v>
      </c>
      <c r="V22" s="1037" t="s">
        <v>1127</v>
      </c>
      <c r="W22" s="1038" t="s">
        <v>1127</v>
      </c>
      <c r="X22" s="1036">
        <v>9</v>
      </c>
      <c r="Y22" s="1037">
        <v>1.2E-2</v>
      </c>
      <c r="Z22" s="1038">
        <v>1360.22</v>
      </c>
      <c r="AA22" s="1036" t="s">
        <v>1127</v>
      </c>
      <c r="AB22" s="1037" t="s">
        <v>1127</v>
      </c>
      <c r="AC22" s="1041" t="s">
        <v>1127</v>
      </c>
      <c r="AD22" s="1036" t="s">
        <v>1127</v>
      </c>
      <c r="AE22" s="1037" t="s">
        <v>1127</v>
      </c>
      <c r="AF22" s="1038" t="s">
        <v>1127</v>
      </c>
      <c r="AG22" s="1036">
        <v>1</v>
      </c>
      <c r="AH22" s="1037">
        <v>1E-3</v>
      </c>
      <c r="AI22" s="1041">
        <v>898.61</v>
      </c>
      <c r="AJ22" s="1039"/>
      <c r="AK22" s="1027">
        <v>17</v>
      </c>
      <c r="AL22" s="1040" t="s">
        <v>350</v>
      </c>
      <c r="AM22" s="1036">
        <v>744</v>
      </c>
      <c r="AN22" s="1037">
        <v>0.53100000000000003</v>
      </c>
      <c r="AO22" s="1038">
        <v>713.45</v>
      </c>
      <c r="AP22" s="1036">
        <v>19</v>
      </c>
      <c r="AQ22" s="1037">
        <v>1.4E-2</v>
      </c>
      <c r="AR22" s="1038">
        <v>751.3</v>
      </c>
      <c r="AS22" s="1036">
        <v>2005</v>
      </c>
      <c r="AT22" s="1037">
        <v>26873</v>
      </c>
      <c r="AU22" s="1038">
        <v>13403</v>
      </c>
      <c r="AV22" s="1036" t="s">
        <v>1127</v>
      </c>
      <c r="AW22" s="1037" t="s">
        <v>1127</v>
      </c>
      <c r="AX22" s="1041" t="s">
        <v>1127</v>
      </c>
    </row>
    <row r="23" spans="1:50" s="46" customFormat="1" ht="18.95" customHeight="1">
      <c r="A23" s="1027">
        <v>18</v>
      </c>
      <c r="B23" s="1028" t="s">
        <v>351</v>
      </c>
      <c r="C23" s="1048">
        <v>2699</v>
      </c>
      <c r="D23" s="1054">
        <v>7.016</v>
      </c>
      <c r="E23" s="1044">
        <v>2599.46</v>
      </c>
      <c r="F23" s="1036">
        <v>10990</v>
      </c>
      <c r="G23" s="1037">
        <v>29.896999999999998</v>
      </c>
      <c r="H23" s="1038">
        <v>2720.38</v>
      </c>
      <c r="I23" s="1036">
        <v>5569</v>
      </c>
      <c r="J23" s="1037">
        <v>14.715</v>
      </c>
      <c r="K23" s="1038">
        <v>2642.25</v>
      </c>
      <c r="L23" s="1036">
        <v>450</v>
      </c>
      <c r="M23" s="1037">
        <v>1.046</v>
      </c>
      <c r="N23" s="1038">
        <v>2324.0500000000002</v>
      </c>
      <c r="O23" s="1036" t="s">
        <v>1127</v>
      </c>
      <c r="P23" s="1037" t="s">
        <v>1127</v>
      </c>
      <c r="Q23" s="1041" t="s">
        <v>1127</v>
      </c>
      <c r="R23" s="1035"/>
      <c r="S23" s="1027">
        <v>18</v>
      </c>
      <c r="T23" s="1028" t="s">
        <v>351</v>
      </c>
      <c r="U23" s="1036" t="s">
        <v>1127</v>
      </c>
      <c r="V23" s="1037" t="s">
        <v>1127</v>
      </c>
      <c r="W23" s="1038" t="s">
        <v>1127</v>
      </c>
      <c r="X23" s="1036" t="s">
        <v>1127</v>
      </c>
      <c r="Y23" s="1037" t="s">
        <v>1127</v>
      </c>
      <c r="Z23" s="1038" t="s">
        <v>1127</v>
      </c>
      <c r="AA23" s="1036" t="s">
        <v>1127</v>
      </c>
      <c r="AB23" s="1037" t="s">
        <v>1127</v>
      </c>
      <c r="AC23" s="1041" t="s">
        <v>1127</v>
      </c>
      <c r="AD23" s="1036" t="s">
        <v>1127</v>
      </c>
      <c r="AE23" s="1037" t="s">
        <v>1127</v>
      </c>
      <c r="AF23" s="1038" t="s">
        <v>1127</v>
      </c>
      <c r="AG23" s="1036" t="s">
        <v>1127</v>
      </c>
      <c r="AH23" s="1037" t="s">
        <v>1127</v>
      </c>
      <c r="AI23" s="1041" t="s">
        <v>1127</v>
      </c>
      <c r="AJ23" s="1039"/>
      <c r="AK23" s="1027">
        <v>18</v>
      </c>
      <c r="AL23" s="1040" t="s">
        <v>351</v>
      </c>
      <c r="AM23" s="1036">
        <v>322</v>
      </c>
      <c r="AN23" s="1037">
        <v>0.25800000000000001</v>
      </c>
      <c r="AO23" s="1038">
        <v>801.5</v>
      </c>
      <c r="AP23" s="1036">
        <v>2636</v>
      </c>
      <c r="AQ23" s="1037">
        <v>2.0910000000000002</v>
      </c>
      <c r="AR23" s="1038">
        <v>793.43</v>
      </c>
      <c r="AS23" s="1036">
        <v>2384</v>
      </c>
      <c r="AT23" s="1037">
        <v>21585</v>
      </c>
      <c r="AU23" s="1038">
        <v>9054</v>
      </c>
      <c r="AV23" s="1036" t="s">
        <v>1127</v>
      </c>
      <c r="AW23" s="1037" t="s">
        <v>1127</v>
      </c>
      <c r="AX23" s="1041" t="s">
        <v>1127</v>
      </c>
    </row>
    <row r="24" spans="1:50" s="46" customFormat="1" ht="18.95" customHeight="1">
      <c r="A24" s="1027">
        <v>19</v>
      </c>
      <c r="B24" s="1028" t="s">
        <v>352</v>
      </c>
      <c r="C24" s="1048">
        <v>6424</v>
      </c>
      <c r="D24" s="1054">
        <v>16.917000000000002</v>
      </c>
      <c r="E24" s="1044">
        <v>2633.39</v>
      </c>
      <c r="F24" s="1036">
        <v>37750</v>
      </c>
      <c r="G24" s="1037">
        <v>108.04600000000001</v>
      </c>
      <c r="H24" s="1038">
        <v>2862.13</v>
      </c>
      <c r="I24" s="1036">
        <v>5147</v>
      </c>
      <c r="J24" s="1037">
        <v>18.745999999999999</v>
      </c>
      <c r="K24" s="1038">
        <v>3642.13</v>
      </c>
      <c r="L24" s="1036">
        <v>104</v>
      </c>
      <c r="M24" s="1037">
        <v>0.24399999999999999</v>
      </c>
      <c r="N24" s="1038">
        <v>2348.6999999999998</v>
      </c>
      <c r="O24" s="1036" t="s">
        <v>1127</v>
      </c>
      <c r="P24" s="1037" t="s">
        <v>1127</v>
      </c>
      <c r="Q24" s="1041" t="s">
        <v>1127</v>
      </c>
      <c r="R24" s="1035"/>
      <c r="S24" s="1027">
        <v>19</v>
      </c>
      <c r="T24" s="1028" t="s">
        <v>352</v>
      </c>
      <c r="U24" s="1036" t="s">
        <v>1127</v>
      </c>
      <c r="V24" s="1037" t="s">
        <v>1127</v>
      </c>
      <c r="W24" s="1038" t="s">
        <v>1127</v>
      </c>
      <c r="X24" s="1036">
        <v>7</v>
      </c>
      <c r="Y24" s="1037">
        <v>8.9999999999999993E-3</v>
      </c>
      <c r="Z24" s="1038">
        <v>1260.3900000000001</v>
      </c>
      <c r="AA24" s="1036">
        <v>1</v>
      </c>
      <c r="AB24" s="1037">
        <v>0</v>
      </c>
      <c r="AC24" s="1041">
        <v>222.86</v>
      </c>
      <c r="AD24" s="1036" t="s">
        <v>1127</v>
      </c>
      <c r="AE24" s="1037" t="s">
        <v>1127</v>
      </c>
      <c r="AF24" s="1038" t="s">
        <v>1127</v>
      </c>
      <c r="AG24" s="1036" t="s">
        <v>1127</v>
      </c>
      <c r="AH24" s="1037" t="s">
        <v>1127</v>
      </c>
      <c r="AI24" s="1041" t="s">
        <v>1127</v>
      </c>
      <c r="AJ24" s="1039"/>
      <c r="AK24" s="1027">
        <v>19</v>
      </c>
      <c r="AL24" s="1040" t="s">
        <v>352</v>
      </c>
      <c r="AM24" s="1036">
        <v>575</v>
      </c>
      <c r="AN24" s="1037">
        <v>0.44800000000000001</v>
      </c>
      <c r="AO24" s="1038">
        <v>779.31</v>
      </c>
      <c r="AP24" s="1036">
        <v>4744</v>
      </c>
      <c r="AQ24" s="1037">
        <v>4.4130000000000003</v>
      </c>
      <c r="AR24" s="1038">
        <v>930.15</v>
      </c>
      <c r="AS24" s="1036">
        <v>4633</v>
      </c>
      <c r="AT24" s="1037">
        <v>28196</v>
      </c>
      <c r="AU24" s="1038">
        <v>6086</v>
      </c>
      <c r="AV24" s="1036" t="s">
        <v>1127</v>
      </c>
      <c r="AW24" s="1037" t="s">
        <v>1127</v>
      </c>
      <c r="AX24" s="1041" t="s">
        <v>1127</v>
      </c>
    </row>
    <row r="25" spans="1:50" s="46" customFormat="1" ht="18.95" customHeight="1">
      <c r="A25" s="1027">
        <v>20</v>
      </c>
      <c r="B25" s="1028" t="s">
        <v>353</v>
      </c>
      <c r="C25" s="1048">
        <v>662</v>
      </c>
      <c r="D25" s="1054">
        <v>1.466</v>
      </c>
      <c r="E25" s="1044">
        <v>2214.64</v>
      </c>
      <c r="F25" s="1036">
        <v>17209</v>
      </c>
      <c r="G25" s="1037">
        <v>45.542000000000002</v>
      </c>
      <c r="H25" s="1038">
        <v>2646.42</v>
      </c>
      <c r="I25" s="1036">
        <v>11216</v>
      </c>
      <c r="J25" s="1037">
        <v>32.128</v>
      </c>
      <c r="K25" s="1038">
        <v>2864.49</v>
      </c>
      <c r="L25" s="1036">
        <v>404</v>
      </c>
      <c r="M25" s="1037">
        <v>0.76600000000000001</v>
      </c>
      <c r="N25" s="1038">
        <v>1895.92</v>
      </c>
      <c r="O25" s="1036" t="s">
        <v>1127</v>
      </c>
      <c r="P25" s="1037" t="s">
        <v>1127</v>
      </c>
      <c r="Q25" s="1041" t="s">
        <v>1127</v>
      </c>
      <c r="R25" s="1035"/>
      <c r="S25" s="1027">
        <v>20</v>
      </c>
      <c r="T25" s="1028" t="s">
        <v>353</v>
      </c>
      <c r="U25" s="1036" t="s">
        <v>1127</v>
      </c>
      <c r="V25" s="1037" t="s">
        <v>1127</v>
      </c>
      <c r="W25" s="1038" t="s">
        <v>1127</v>
      </c>
      <c r="X25" s="1036">
        <v>1</v>
      </c>
      <c r="Y25" s="1037">
        <v>1E-3</v>
      </c>
      <c r="Z25" s="1038">
        <v>1088.08</v>
      </c>
      <c r="AA25" s="1036" t="s">
        <v>1127</v>
      </c>
      <c r="AB25" s="1037" t="s">
        <v>1127</v>
      </c>
      <c r="AC25" s="1041" t="s">
        <v>1127</v>
      </c>
      <c r="AD25" s="1036" t="s">
        <v>1127</v>
      </c>
      <c r="AE25" s="1037" t="s">
        <v>1127</v>
      </c>
      <c r="AF25" s="1038" t="s">
        <v>1127</v>
      </c>
      <c r="AG25" s="1036" t="s">
        <v>1127</v>
      </c>
      <c r="AH25" s="1037" t="s">
        <v>1127</v>
      </c>
      <c r="AI25" s="1041" t="s">
        <v>1127</v>
      </c>
      <c r="AJ25" s="1039"/>
      <c r="AK25" s="1027">
        <v>20</v>
      </c>
      <c r="AL25" s="1040" t="s">
        <v>353</v>
      </c>
      <c r="AM25" s="1036">
        <v>736</v>
      </c>
      <c r="AN25" s="1037">
        <v>0.42399999999999999</v>
      </c>
      <c r="AO25" s="1038">
        <v>576.59</v>
      </c>
      <c r="AP25" s="1036">
        <v>347</v>
      </c>
      <c r="AQ25" s="1037">
        <v>0.20799999999999999</v>
      </c>
      <c r="AR25" s="1038">
        <v>600.32000000000005</v>
      </c>
      <c r="AS25" s="1036">
        <v>2843</v>
      </c>
      <c r="AT25" s="1037">
        <v>29573</v>
      </c>
      <c r="AU25" s="1038">
        <v>10402</v>
      </c>
      <c r="AV25" s="1036" t="s">
        <v>1127</v>
      </c>
      <c r="AW25" s="1037" t="s">
        <v>1127</v>
      </c>
      <c r="AX25" s="1041" t="s">
        <v>1127</v>
      </c>
    </row>
    <row r="26" spans="1:50" s="46" customFormat="1" ht="18.95" customHeight="1">
      <c r="A26" s="1027">
        <v>21</v>
      </c>
      <c r="B26" s="1028" t="s">
        <v>354</v>
      </c>
      <c r="C26" s="1048">
        <v>3191</v>
      </c>
      <c r="D26" s="1054">
        <v>7.9640000000000004</v>
      </c>
      <c r="E26" s="1044">
        <v>2495.83</v>
      </c>
      <c r="F26" s="1036">
        <v>1405</v>
      </c>
      <c r="G26" s="1037">
        <v>3.39</v>
      </c>
      <c r="H26" s="1038">
        <v>2412.85</v>
      </c>
      <c r="I26" s="1036">
        <v>4851</v>
      </c>
      <c r="J26" s="1037">
        <v>16.859000000000002</v>
      </c>
      <c r="K26" s="1038">
        <v>3475.33</v>
      </c>
      <c r="L26" s="1036">
        <v>152</v>
      </c>
      <c r="M26" s="1037">
        <v>0.29299999999999998</v>
      </c>
      <c r="N26" s="1038">
        <v>1927.17</v>
      </c>
      <c r="O26" s="1036" t="s">
        <v>1127</v>
      </c>
      <c r="P26" s="1037" t="s">
        <v>1127</v>
      </c>
      <c r="Q26" s="1041" t="s">
        <v>1127</v>
      </c>
      <c r="R26" s="1035"/>
      <c r="S26" s="1027">
        <v>21</v>
      </c>
      <c r="T26" s="1028" t="s">
        <v>354</v>
      </c>
      <c r="U26" s="1036">
        <v>4</v>
      </c>
      <c r="V26" s="1037">
        <v>7.8E-2</v>
      </c>
      <c r="W26" s="1038">
        <v>19.55</v>
      </c>
      <c r="X26" s="1036">
        <v>9</v>
      </c>
      <c r="Y26" s="1037">
        <v>7.0000000000000001E-3</v>
      </c>
      <c r="Z26" s="1038">
        <v>767.34</v>
      </c>
      <c r="AA26" s="1036" t="s">
        <v>1127</v>
      </c>
      <c r="AB26" s="1037" t="s">
        <v>1127</v>
      </c>
      <c r="AC26" s="1041" t="s">
        <v>1127</v>
      </c>
      <c r="AD26" s="1036" t="s">
        <v>1127</v>
      </c>
      <c r="AE26" s="1037" t="s">
        <v>1127</v>
      </c>
      <c r="AF26" s="1038" t="s">
        <v>1127</v>
      </c>
      <c r="AG26" s="1036" t="s">
        <v>1127</v>
      </c>
      <c r="AH26" s="1037" t="s">
        <v>1127</v>
      </c>
      <c r="AI26" s="1041" t="s">
        <v>1127</v>
      </c>
      <c r="AJ26" s="1039"/>
      <c r="AK26" s="1027">
        <v>21</v>
      </c>
      <c r="AL26" s="1040" t="s">
        <v>354</v>
      </c>
      <c r="AM26" s="1036">
        <v>893</v>
      </c>
      <c r="AN26" s="1037">
        <v>0.61299999999999999</v>
      </c>
      <c r="AO26" s="1038">
        <v>686.65</v>
      </c>
      <c r="AP26" s="1036">
        <v>1246</v>
      </c>
      <c r="AQ26" s="1037">
        <v>0.93500000000000005</v>
      </c>
      <c r="AR26" s="1038">
        <v>750.58</v>
      </c>
      <c r="AS26" s="1036">
        <v>2030</v>
      </c>
      <c r="AT26" s="1037">
        <v>12578</v>
      </c>
      <c r="AU26" s="1038">
        <v>6196</v>
      </c>
      <c r="AV26" s="1036" t="s">
        <v>1127</v>
      </c>
      <c r="AW26" s="1037" t="s">
        <v>1127</v>
      </c>
      <c r="AX26" s="1041" t="s">
        <v>1127</v>
      </c>
    </row>
    <row r="27" spans="1:50" s="46" customFormat="1" ht="18.95" customHeight="1">
      <c r="A27" s="1055">
        <v>22</v>
      </c>
      <c r="B27" s="1056" t="s">
        <v>355</v>
      </c>
      <c r="C27" s="1057">
        <v>1853</v>
      </c>
      <c r="D27" s="1058">
        <v>4.38</v>
      </c>
      <c r="E27" s="1059">
        <v>2363.6</v>
      </c>
      <c r="F27" s="1060">
        <v>1646</v>
      </c>
      <c r="G27" s="1061">
        <v>3.726</v>
      </c>
      <c r="H27" s="1062">
        <v>2263.5100000000002</v>
      </c>
      <c r="I27" s="1060">
        <v>4422</v>
      </c>
      <c r="J27" s="1061">
        <v>12.37</v>
      </c>
      <c r="K27" s="1062">
        <v>2797.27</v>
      </c>
      <c r="L27" s="1060">
        <v>235</v>
      </c>
      <c r="M27" s="1061">
        <v>0.45200000000000001</v>
      </c>
      <c r="N27" s="1062">
        <v>1921.38</v>
      </c>
      <c r="O27" s="1060" t="s">
        <v>1127</v>
      </c>
      <c r="P27" s="1061" t="s">
        <v>1127</v>
      </c>
      <c r="Q27" s="1063" t="s">
        <v>1127</v>
      </c>
      <c r="R27" s="1035"/>
      <c r="S27" s="1126">
        <v>22</v>
      </c>
      <c r="T27" s="1056" t="s">
        <v>355</v>
      </c>
      <c r="U27" s="1060" t="s">
        <v>1127</v>
      </c>
      <c r="V27" s="1061" t="s">
        <v>1127</v>
      </c>
      <c r="W27" s="1063" t="s">
        <v>1127</v>
      </c>
      <c r="X27" s="1060">
        <v>12</v>
      </c>
      <c r="Y27" s="1061">
        <v>1.7000000000000001E-2</v>
      </c>
      <c r="Z27" s="1063">
        <v>1431.29</v>
      </c>
      <c r="AA27" s="1060" t="s">
        <v>1127</v>
      </c>
      <c r="AB27" s="1061" t="s">
        <v>1127</v>
      </c>
      <c r="AC27" s="1063" t="s">
        <v>1127</v>
      </c>
      <c r="AD27" s="1060" t="s">
        <v>1127</v>
      </c>
      <c r="AE27" s="1061" t="s">
        <v>1127</v>
      </c>
      <c r="AF27" s="1063" t="s">
        <v>1127</v>
      </c>
      <c r="AG27" s="1060">
        <v>1</v>
      </c>
      <c r="AH27" s="1061">
        <v>1E-3</v>
      </c>
      <c r="AI27" s="1063">
        <v>897.56</v>
      </c>
      <c r="AJ27" s="1039"/>
      <c r="AK27" s="1126">
        <v>22</v>
      </c>
      <c r="AL27" s="1064" t="s">
        <v>355</v>
      </c>
      <c r="AM27" s="1060">
        <v>1265</v>
      </c>
      <c r="AN27" s="1061">
        <v>1.0309999999999999</v>
      </c>
      <c r="AO27" s="1062">
        <v>815.21</v>
      </c>
      <c r="AP27" s="1060">
        <v>1165</v>
      </c>
      <c r="AQ27" s="1061">
        <v>0.91200000000000003</v>
      </c>
      <c r="AR27" s="1062">
        <v>782.44</v>
      </c>
      <c r="AS27" s="1060">
        <v>940</v>
      </c>
      <c r="AT27" s="1061">
        <v>6368</v>
      </c>
      <c r="AU27" s="1062">
        <v>6774</v>
      </c>
      <c r="AV27" s="1060" t="s">
        <v>1127</v>
      </c>
      <c r="AW27" s="1061" t="s">
        <v>1127</v>
      </c>
      <c r="AX27" s="1063" t="s">
        <v>1127</v>
      </c>
    </row>
    <row r="28" spans="1:50">
      <c r="A28" s="1013"/>
      <c r="B28" s="1013"/>
      <c r="C28" s="1013"/>
      <c r="D28" s="1065"/>
      <c r="E28" s="1065"/>
      <c r="F28" s="1013"/>
      <c r="G28" s="1013"/>
      <c r="H28" s="1065"/>
      <c r="I28" s="1013"/>
      <c r="J28" s="1013"/>
      <c r="K28" s="1013"/>
      <c r="L28" s="1013"/>
      <c r="M28" s="1013"/>
      <c r="N28" s="1013"/>
      <c r="O28" s="1013"/>
      <c r="P28" s="1013"/>
      <c r="Q28" s="1066" t="s">
        <v>480</v>
      </c>
      <c r="R28" s="1067"/>
      <c r="S28" s="1013"/>
      <c r="T28" s="1065"/>
      <c r="U28" s="1013"/>
      <c r="V28" s="1013"/>
      <c r="W28" s="1013"/>
      <c r="X28" s="1013"/>
      <c r="Y28" s="1013"/>
      <c r="Z28" s="1013"/>
      <c r="AA28" s="1013"/>
      <c r="AB28" s="1013"/>
      <c r="AC28" s="1013"/>
      <c r="AD28" s="1013"/>
      <c r="AE28" s="1013"/>
      <c r="AF28" s="1013"/>
      <c r="AG28" s="1065"/>
      <c r="AH28" s="1013"/>
      <c r="AI28" s="1066" t="s">
        <v>480</v>
      </c>
      <c r="AJ28" s="1067"/>
      <c r="AK28" s="1068" t="s">
        <v>693</v>
      </c>
      <c r="AL28" s="1013"/>
      <c r="AM28" s="1013"/>
      <c r="AN28" s="1013"/>
      <c r="AO28" s="1068" t="s">
        <v>1321</v>
      </c>
      <c r="AP28" s="1013"/>
      <c r="AQ28" s="1013"/>
      <c r="AR28" s="1013"/>
      <c r="AS28" s="1013"/>
      <c r="AT28" s="1013"/>
      <c r="AU28" s="1066" t="s">
        <v>610</v>
      </c>
      <c r="AV28" s="1069" t="s">
        <v>1300</v>
      </c>
      <c r="AW28" s="1013"/>
      <c r="AX28" s="1013"/>
    </row>
    <row r="29" spans="1:50">
      <c r="A29" s="1013"/>
      <c r="B29" s="1065"/>
      <c r="C29" s="1013"/>
      <c r="D29" s="1065"/>
      <c r="E29" s="1065"/>
      <c r="F29" s="1013"/>
      <c r="G29" s="1013"/>
      <c r="H29" s="1065"/>
      <c r="I29" s="1013"/>
      <c r="J29" s="1013"/>
      <c r="K29" s="1013"/>
      <c r="L29" s="1013"/>
      <c r="M29" s="1013"/>
      <c r="N29" s="1013"/>
      <c r="O29" s="1013"/>
      <c r="P29" s="1013"/>
      <c r="Q29" s="1013"/>
      <c r="R29" s="1013"/>
      <c r="S29" s="1013"/>
      <c r="T29" s="1065"/>
      <c r="U29" s="1013"/>
      <c r="V29" s="1013"/>
      <c r="W29" s="1013"/>
      <c r="X29" s="1013"/>
      <c r="Y29" s="1013"/>
      <c r="Z29" s="1013"/>
      <c r="AA29" s="1013"/>
      <c r="AB29" s="1013"/>
      <c r="AC29" s="1013"/>
      <c r="AD29" s="1013"/>
      <c r="AE29" s="1013"/>
      <c r="AF29" s="1013"/>
      <c r="AG29" s="1065"/>
      <c r="AH29" s="1013"/>
      <c r="AI29" s="1013"/>
      <c r="AJ29" s="1013"/>
      <c r="AK29" s="1068" t="s">
        <v>884</v>
      </c>
      <c r="AL29" s="1013"/>
      <c r="AM29" s="1013"/>
      <c r="AN29" s="1068" t="s">
        <v>1267</v>
      </c>
      <c r="AO29" s="1013"/>
      <c r="AP29" s="1013"/>
      <c r="AQ29" s="1013"/>
      <c r="AR29" s="1013"/>
      <c r="AS29" s="1013"/>
      <c r="AT29" s="1013"/>
      <c r="AU29" s="1068"/>
      <c r="AV29" s="1069" t="s">
        <v>1301</v>
      </c>
      <c r="AW29" s="1013"/>
      <c r="AX29" s="1013"/>
    </row>
    <row r="30" spans="1:50">
      <c r="A30" s="1013"/>
      <c r="B30" s="1013"/>
      <c r="C30" s="1013"/>
      <c r="D30" s="1065"/>
      <c r="E30" s="1065"/>
      <c r="F30" s="1013"/>
      <c r="G30" s="1013"/>
      <c r="H30" s="1013"/>
      <c r="I30" s="1013"/>
      <c r="J30" s="1013"/>
      <c r="K30" s="1013"/>
      <c r="L30" s="1013"/>
      <c r="M30" s="1013"/>
      <c r="N30" s="1013"/>
      <c r="O30" s="1013"/>
      <c r="P30" s="1013"/>
      <c r="Q30" s="1013"/>
      <c r="R30" s="1013"/>
      <c r="S30" s="1013"/>
      <c r="T30" s="1013"/>
      <c r="U30" s="1013"/>
      <c r="V30" s="1013"/>
      <c r="W30" s="1013"/>
      <c r="X30" s="1013"/>
      <c r="Y30" s="1013"/>
      <c r="Z30" s="1013"/>
      <c r="AA30" s="1013"/>
      <c r="AB30" s="1013"/>
      <c r="AC30" s="1013"/>
      <c r="AD30" s="1013"/>
      <c r="AE30" s="1013"/>
      <c r="AF30" s="1013"/>
      <c r="AG30" s="1013"/>
      <c r="AH30" s="1013"/>
      <c r="AI30" s="1013"/>
      <c r="AJ30" s="1013"/>
      <c r="AK30" s="1013"/>
      <c r="AL30" s="1013"/>
      <c r="AM30" s="1013"/>
      <c r="AN30" s="1013"/>
      <c r="AO30" s="1013"/>
      <c r="AP30" s="1013"/>
      <c r="AQ30" s="1013"/>
      <c r="AR30" s="1013"/>
      <c r="AS30" s="1013"/>
      <c r="AT30" s="1013"/>
      <c r="AU30" s="1013"/>
      <c r="AV30" s="1013"/>
      <c r="AW30" s="1013"/>
      <c r="AX30" s="1013"/>
    </row>
    <row r="33" spans="8:11" ht="14.25" customHeight="1">
      <c r="I33" s="561"/>
      <c r="J33" s="816"/>
      <c r="K33" s="561"/>
    </row>
    <row r="35" spans="8:11">
      <c r="H35" s="24"/>
      <c r="I35" s="24"/>
    </row>
    <row r="36" spans="8:11">
      <c r="H36" s="24"/>
      <c r="I36" s="24"/>
    </row>
    <row r="37" spans="8:11">
      <c r="H37" s="573"/>
      <c r="I37" s="506"/>
    </row>
    <row r="38" spans="8:11">
      <c r="H38" s="24"/>
      <c r="I38" s="190"/>
    </row>
    <row r="39" spans="8:11">
      <c r="H39" s="24"/>
      <c r="I39" s="190"/>
    </row>
    <row r="40" spans="8:11">
      <c r="H40" s="24"/>
      <c r="I40" s="190"/>
    </row>
    <row r="41" spans="8:11">
      <c r="H41" s="24"/>
      <c r="I41" s="190"/>
    </row>
    <row r="42" spans="8:11">
      <c r="H42" s="24"/>
      <c r="I42" s="190"/>
    </row>
    <row r="43" spans="8:11">
      <c r="H43" s="24"/>
      <c r="I43" s="190"/>
    </row>
    <row r="44" spans="8:11">
      <c r="H44" s="24"/>
      <c r="I44" s="190"/>
    </row>
    <row r="45" spans="8:11">
      <c r="H45" s="24"/>
      <c r="I45" s="190"/>
    </row>
    <row r="46" spans="8:11">
      <c r="H46" s="24"/>
      <c r="I46" s="190"/>
    </row>
    <row r="47" spans="8:11">
      <c r="H47" s="24"/>
      <c r="I47" s="190"/>
    </row>
    <row r="48" spans="8:11">
      <c r="H48" s="24"/>
      <c r="I48" s="190"/>
    </row>
    <row r="49" spans="8:9">
      <c r="H49" s="24"/>
      <c r="I49" s="190"/>
    </row>
    <row r="50" spans="8:9">
      <c r="H50" s="24"/>
      <c r="I50" s="190"/>
    </row>
    <row r="51" spans="8:9">
      <c r="H51" s="24"/>
      <c r="I51" s="190"/>
    </row>
    <row r="52" spans="8:9">
      <c r="H52" s="24"/>
      <c r="I52" s="190"/>
    </row>
    <row r="53" spans="8:9">
      <c r="H53" s="24"/>
      <c r="I53" s="190"/>
    </row>
    <row r="54" spans="8:9">
      <c r="H54" s="24"/>
      <c r="I54" s="190"/>
    </row>
    <row r="55" spans="8:9">
      <c r="H55" s="24"/>
      <c r="I55" s="190"/>
    </row>
    <row r="56" spans="8:9">
      <c r="H56" s="24"/>
      <c r="I56" s="190"/>
    </row>
    <row r="57" spans="8:9">
      <c r="H57" s="24"/>
      <c r="I57" s="190"/>
    </row>
    <row r="58" spans="8:9">
      <c r="H58" s="24"/>
      <c r="I58" s="190"/>
    </row>
    <row r="59" spans="8:9">
      <c r="H59" s="24"/>
      <c r="I59" s="190"/>
    </row>
  </sheetData>
  <mergeCells count="24">
    <mergeCell ref="S2:AI2"/>
    <mergeCell ref="AK2:AX2"/>
    <mergeCell ref="AS3:AU3"/>
    <mergeCell ref="X3:Z3"/>
    <mergeCell ref="AK3:AK4"/>
    <mergeCell ref="S3:S4"/>
    <mergeCell ref="AA3:AC3"/>
    <mergeCell ref="AD3:AF3"/>
    <mergeCell ref="AP3:AR3"/>
    <mergeCell ref="U3:W3"/>
    <mergeCell ref="AL3:AL4"/>
    <mergeCell ref="T3:T4"/>
    <mergeCell ref="AG3:AI3"/>
    <mergeCell ref="AM3:AO3"/>
    <mergeCell ref="AV3:AX3"/>
    <mergeCell ref="A1:Q1"/>
    <mergeCell ref="A2:Q2"/>
    <mergeCell ref="L3:N3"/>
    <mergeCell ref="O3:Q3"/>
    <mergeCell ref="A3:A4"/>
    <mergeCell ref="B3:B4"/>
    <mergeCell ref="C3:E3"/>
    <mergeCell ref="I3:K3"/>
    <mergeCell ref="F3:H3"/>
  </mergeCells>
  <phoneticPr fontId="0" type="noConversion"/>
  <printOptions horizontalCentered="1" verticalCentered="1"/>
  <pageMargins left="0.1" right="0.1" top="0.1" bottom="0.1" header="0.5" footer="0.1"/>
  <pageSetup paperSize="9" orientation="landscape" r:id="rId1"/>
  <headerFooter alignWithMargins="0"/>
  <colBreaks count="2" manualBreakCount="2">
    <brk id="18" max="1048575" man="1"/>
    <brk id="36" max="1048575" man="1"/>
  </colBreaks>
</worksheet>
</file>

<file path=xl/worksheets/sheet83.xml><?xml version="1.0" encoding="utf-8"?>
<worksheet xmlns="http://schemas.openxmlformats.org/spreadsheetml/2006/main" xmlns:r="http://schemas.openxmlformats.org/officeDocument/2006/relationships">
  <sheetPr codeName="Sheet100"/>
  <dimension ref="A1:R34"/>
  <sheetViews>
    <sheetView topLeftCell="B1" workbookViewId="0">
      <selection activeCell="L7" sqref="L7"/>
    </sheetView>
  </sheetViews>
  <sheetFormatPr defaultRowHeight="12.75"/>
  <cols>
    <col min="1" max="1" width="6.7109375" style="2" hidden="1" customWidth="1"/>
    <col min="2" max="2" width="3.7109375" style="2" customWidth="1"/>
    <col min="3" max="3" width="14.5703125" style="2" customWidth="1"/>
    <col min="4" max="18" width="8.140625" style="2" customWidth="1"/>
    <col min="19" max="19" width="5.7109375" style="2" customWidth="1"/>
    <col min="20" max="16384" width="9.140625" style="2"/>
  </cols>
  <sheetData>
    <row r="1" spans="2:18" ht="15" customHeight="1">
      <c r="B1" s="1181" t="s">
        <v>1549</v>
      </c>
      <c r="C1" s="1181"/>
      <c r="D1" s="1181"/>
      <c r="E1" s="1181"/>
      <c r="F1" s="1181"/>
      <c r="G1" s="1181"/>
      <c r="H1" s="1181"/>
      <c r="I1" s="1181"/>
      <c r="J1" s="1181"/>
      <c r="K1" s="1181"/>
      <c r="L1" s="1181"/>
      <c r="M1" s="1181"/>
      <c r="N1" s="1181"/>
      <c r="O1" s="1181"/>
      <c r="P1" s="1181"/>
      <c r="Q1" s="1181"/>
      <c r="R1" s="1181"/>
    </row>
    <row r="2" spans="2:18" ht="15.75" customHeight="1">
      <c r="B2" s="1189" t="str">
        <f>CONCATENATE("Source of Irrigation and Area Irrigated by different sources in the Blocks of ",District!$A$1," for the year ",District!B3)</f>
        <v>Source of Irrigation and Area Irrigated by different sources in the Blocks of Bankura for the year 2013-14</v>
      </c>
      <c r="C2" s="1189"/>
      <c r="D2" s="1189"/>
      <c r="E2" s="1189"/>
      <c r="F2" s="1189"/>
      <c r="G2" s="1189"/>
      <c r="H2" s="1189"/>
      <c r="I2" s="1189"/>
      <c r="J2" s="1189"/>
      <c r="K2" s="1189"/>
      <c r="L2" s="1189"/>
      <c r="M2" s="1189"/>
      <c r="N2" s="1189"/>
      <c r="O2" s="1189"/>
      <c r="P2" s="1189"/>
      <c r="Q2" s="1189"/>
      <c r="R2" s="1189"/>
    </row>
    <row r="3" spans="2:18" ht="12.75" customHeight="1">
      <c r="B3" s="55"/>
      <c r="C3" s="100"/>
      <c r="D3" s="100"/>
      <c r="E3" s="100"/>
      <c r="F3" s="100"/>
      <c r="G3" s="100"/>
      <c r="H3" s="100"/>
      <c r="I3" s="100"/>
      <c r="J3" s="100"/>
      <c r="K3" s="100"/>
      <c r="L3" s="100"/>
      <c r="M3" s="100"/>
      <c r="N3" s="100"/>
      <c r="O3" s="100"/>
      <c r="P3" s="100"/>
      <c r="Q3" s="100"/>
      <c r="R3" s="114" t="s">
        <v>937</v>
      </c>
    </row>
    <row r="4" spans="2:18" ht="13.5" customHeight="1">
      <c r="B4" s="58" t="s">
        <v>1495</v>
      </c>
      <c r="C4" s="1258" t="s">
        <v>1000</v>
      </c>
      <c r="D4" s="1194" t="s">
        <v>1542</v>
      </c>
      <c r="E4" s="1193" t="s">
        <v>1090</v>
      </c>
      <c r="F4" s="1192"/>
      <c r="G4" s="1191" t="s">
        <v>1100</v>
      </c>
      <c r="H4" s="1191"/>
      <c r="I4" s="1193" t="s">
        <v>254</v>
      </c>
      <c r="J4" s="1192"/>
      <c r="K4" s="1191" t="s">
        <v>1099</v>
      </c>
      <c r="L4" s="1191"/>
      <c r="M4" s="1193" t="s">
        <v>1101</v>
      </c>
      <c r="N4" s="1192"/>
      <c r="O4" s="1191" t="s">
        <v>592</v>
      </c>
      <c r="P4" s="1191"/>
      <c r="Q4" s="1193" t="s">
        <v>439</v>
      </c>
      <c r="R4" s="1192"/>
    </row>
    <row r="5" spans="2:18" ht="14.25" customHeight="1">
      <c r="B5" s="33" t="s">
        <v>454</v>
      </c>
      <c r="C5" s="1242"/>
      <c r="D5" s="1195"/>
      <c r="E5" s="56" t="s">
        <v>454</v>
      </c>
      <c r="F5" s="42" t="s">
        <v>1508</v>
      </c>
      <c r="G5" s="54" t="s">
        <v>454</v>
      </c>
      <c r="H5" s="54" t="s">
        <v>1508</v>
      </c>
      <c r="I5" s="29" t="s">
        <v>454</v>
      </c>
      <c r="J5" s="39" t="s">
        <v>1508</v>
      </c>
      <c r="K5" s="54" t="s">
        <v>454</v>
      </c>
      <c r="L5" s="54" t="s">
        <v>1508</v>
      </c>
      <c r="M5" s="29" t="s">
        <v>454</v>
      </c>
      <c r="N5" s="39" t="s">
        <v>1508</v>
      </c>
      <c r="O5" s="54" t="s">
        <v>454</v>
      </c>
      <c r="P5" s="54" t="s">
        <v>1508</v>
      </c>
      <c r="Q5" s="29" t="s">
        <v>454</v>
      </c>
      <c r="R5" s="39" t="s">
        <v>1508</v>
      </c>
    </row>
    <row r="6" spans="2:18" ht="13.5" customHeight="1">
      <c r="B6" s="215" t="s">
        <v>418</v>
      </c>
      <c r="C6" s="222" t="s">
        <v>419</v>
      </c>
      <c r="D6" s="311" t="s">
        <v>420</v>
      </c>
      <c r="E6" s="311" t="s">
        <v>421</v>
      </c>
      <c r="F6" s="216" t="s">
        <v>422</v>
      </c>
      <c r="G6" s="459" t="s">
        <v>423</v>
      </c>
      <c r="H6" s="459" t="s">
        <v>424</v>
      </c>
      <c r="I6" s="311" t="s">
        <v>440</v>
      </c>
      <c r="J6" s="216" t="s">
        <v>441</v>
      </c>
      <c r="K6" s="459" t="s">
        <v>442</v>
      </c>
      <c r="L6" s="459" t="s">
        <v>443</v>
      </c>
      <c r="M6" s="311" t="s">
        <v>537</v>
      </c>
      <c r="N6" s="216" t="s">
        <v>538</v>
      </c>
      <c r="O6" s="459" t="s">
        <v>539</v>
      </c>
      <c r="P6" s="459" t="s">
        <v>540</v>
      </c>
      <c r="Q6" s="311" t="s">
        <v>542</v>
      </c>
      <c r="R6" s="216" t="s">
        <v>543</v>
      </c>
    </row>
    <row r="7" spans="2:18" ht="17.100000000000001" customHeight="1">
      <c r="B7" s="33">
        <v>1</v>
      </c>
      <c r="C7" s="55" t="s">
        <v>596</v>
      </c>
      <c r="D7" s="29">
        <v>198</v>
      </c>
      <c r="E7" s="29">
        <v>845</v>
      </c>
      <c r="F7" s="39">
        <v>925</v>
      </c>
      <c r="G7" s="54">
        <v>17</v>
      </c>
      <c r="H7" s="54">
        <v>660</v>
      </c>
      <c r="I7" s="998" t="s">
        <v>1127</v>
      </c>
      <c r="J7" s="158" t="s">
        <v>1127</v>
      </c>
      <c r="K7" s="54">
        <v>28</v>
      </c>
      <c r="L7" s="54">
        <v>78</v>
      </c>
      <c r="M7" s="29">
        <v>600</v>
      </c>
      <c r="N7" s="39">
        <v>300</v>
      </c>
      <c r="O7" s="54">
        <v>26</v>
      </c>
      <c r="P7" s="54">
        <v>165</v>
      </c>
      <c r="Q7" s="29">
        <f>SUM(E7,G7,I7,K7,M7,O7)</f>
        <v>1516</v>
      </c>
      <c r="R7" s="572">
        <f>SUM(D7,F7,H7,J7,L7,N7,P7)</f>
        <v>2326</v>
      </c>
    </row>
    <row r="8" spans="2:18" ht="17.100000000000001" customHeight="1">
      <c r="B8" s="33">
        <v>2</v>
      </c>
      <c r="C8" s="55" t="s">
        <v>595</v>
      </c>
      <c r="D8" s="986" t="s">
        <v>1127</v>
      </c>
      <c r="E8" s="29">
        <v>650</v>
      </c>
      <c r="F8" s="39">
        <v>1350</v>
      </c>
      <c r="G8" s="54">
        <v>18</v>
      </c>
      <c r="H8" s="54">
        <v>680</v>
      </c>
      <c r="I8" s="998" t="s">
        <v>1127</v>
      </c>
      <c r="J8" s="997" t="s">
        <v>1127</v>
      </c>
      <c r="K8" s="54">
        <v>675</v>
      </c>
      <c r="L8" s="54">
        <v>1300</v>
      </c>
      <c r="M8" s="29">
        <v>490</v>
      </c>
      <c r="N8" s="39">
        <v>200</v>
      </c>
      <c r="O8" s="54">
        <v>37</v>
      </c>
      <c r="P8" s="54">
        <v>72</v>
      </c>
      <c r="Q8" s="29">
        <f t="shared" ref="Q8:Q28" si="0">SUM(E8,G8,I8,K8,M8,O8)</f>
        <v>1870</v>
      </c>
      <c r="R8" s="572">
        <f t="shared" ref="R8:R28" si="1">SUM(D8,F8,H8,J8,L8,N8,P8)</f>
        <v>3602</v>
      </c>
    </row>
    <row r="9" spans="2:18" ht="17.100000000000001" customHeight="1">
      <c r="B9" s="33">
        <v>3</v>
      </c>
      <c r="C9" s="55" t="s">
        <v>597</v>
      </c>
      <c r="D9" s="998" t="s">
        <v>1127</v>
      </c>
      <c r="E9" s="29">
        <v>970</v>
      </c>
      <c r="F9" s="39">
        <v>1695</v>
      </c>
      <c r="G9" s="54">
        <v>23</v>
      </c>
      <c r="H9" s="54">
        <v>860</v>
      </c>
      <c r="I9" s="998" t="s">
        <v>1127</v>
      </c>
      <c r="J9" s="997" t="s">
        <v>1127</v>
      </c>
      <c r="K9" s="54">
        <v>17</v>
      </c>
      <c r="L9" s="54">
        <v>45</v>
      </c>
      <c r="M9" s="29">
        <v>137</v>
      </c>
      <c r="N9" s="39">
        <v>25</v>
      </c>
      <c r="O9" s="54" t="s">
        <v>1127</v>
      </c>
      <c r="P9" s="54" t="s">
        <v>1127</v>
      </c>
      <c r="Q9" s="29">
        <f t="shared" si="0"/>
        <v>1147</v>
      </c>
      <c r="R9" s="572">
        <v>2625</v>
      </c>
    </row>
    <row r="10" spans="2:18" ht="17.100000000000001" customHeight="1">
      <c r="B10" s="33">
        <v>4</v>
      </c>
      <c r="C10" s="55" t="s">
        <v>598</v>
      </c>
      <c r="D10" s="998" t="s">
        <v>1127</v>
      </c>
      <c r="E10" s="29">
        <v>2010</v>
      </c>
      <c r="F10" s="39">
        <v>2400</v>
      </c>
      <c r="G10" s="54">
        <v>14</v>
      </c>
      <c r="H10" s="54">
        <v>560</v>
      </c>
      <c r="I10" s="998" t="s">
        <v>1127</v>
      </c>
      <c r="J10" s="997" t="s">
        <v>1127</v>
      </c>
      <c r="K10" s="992" t="s">
        <v>1127</v>
      </c>
      <c r="L10" s="992" t="s">
        <v>1127</v>
      </c>
      <c r="M10" s="29">
        <v>170</v>
      </c>
      <c r="N10" s="39">
        <v>90</v>
      </c>
      <c r="O10" s="54">
        <v>320</v>
      </c>
      <c r="P10" s="54">
        <v>250</v>
      </c>
      <c r="Q10" s="29">
        <f t="shared" si="0"/>
        <v>2514</v>
      </c>
      <c r="R10" s="572">
        <f t="shared" si="1"/>
        <v>3300</v>
      </c>
    </row>
    <row r="11" spans="2:18" ht="17.100000000000001" customHeight="1">
      <c r="B11" s="33">
        <v>5</v>
      </c>
      <c r="C11" s="55" t="s">
        <v>599</v>
      </c>
      <c r="D11" s="998" t="s">
        <v>1127</v>
      </c>
      <c r="E11" s="29">
        <v>647</v>
      </c>
      <c r="F11" s="39">
        <v>1556</v>
      </c>
      <c r="G11" s="54">
        <v>16</v>
      </c>
      <c r="H11" s="54">
        <v>720</v>
      </c>
      <c r="I11" s="998" t="s">
        <v>1127</v>
      </c>
      <c r="J11" s="997" t="s">
        <v>1127</v>
      </c>
      <c r="K11" s="54">
        <v>215</v>
      </c>
      <c r="L11" s="54">
        <v>327</v>
      </c>
      <c r="M11" s="29">
        <v>260</v>
      </c>
      <c r="N11" s="39">
        <v>100</v>
      </c>
      <c r="O11" s="54">
        <v>7</v>
      </c>
      <c r="P11" s="54">
        <v>150</v>
      </c>
      <c r="Q11" s="29">
        <f t="shared" si="0"/>
        <v>1145</v>
      </c>
      <c r="R11" s="572">
        <f t="shared" si="1"/>
        <v>2853</v>
      </c>
    </row>
    <row r="12" spans="2:18" ht="17.100000000000001" customHeight="1">
      <c r="B12" s="33">
        <v>6</v>
      </c>
      <c r="C12" s="190" t="s">
        <v>771</v>
      </c>
      <c r="D12" s="29">
        <v>443</v>
      </c>
      <c r="E12" s="29">
        <v>2300</v>
      </c>
      <c r="F12" s="39">
        <v>6095</v>
      </c>
      <c r="G12" s="54">
        <v>13</v>
      </c>
      <c r="H12" s="54">
        <v>480</v>
      </c>
      <c r="I12" s="998" t="s">
        <v>1127</v>
      </c>
      <c r="J12" s="997" t="s">
        <v>1127</v>
      </c>
      <c r="K12" s="12">
        <v>2</v>
      </c>
      <c r="L12" s="12">
        <v>5</v>
      </c>
      <c r="M12" s="29">
        <v>625</v>
      </c>
      <c r="N12" s="39">
        <v>245</v>
      </c>
      <c r="O12" s="54" t="s">
        <v>1127</v>
      </c>
      <c r="P12" s="54" t="s">
        <v>1127</v>
      </c>
      <c r="Q12" s="29">
        <f t="shared" si="0"/>
        <v>2940</v>
      </c>
      <c r="R12" s="572">
        <f t="shared" si="1"/>
        <v>7268</v>
      </c>
    </row>
    <row r="13" spans="2:18" ht="17.100000000000001" customHeight="1">
      <c r="B13" s="33">
        <v>7</v>
      </c>
      <c r="C13" s="55" t="s">
        <v>1390</v>
      </c>
      <c r="D13" s="29">
        <v>3043</v>
      </c>
      <c r="E13" s="29">
        <v>1010</v>
      </c>
      <c r="F13" s="39">
        <v>660</v>
      </c>
      <c r="G13" s="54">
        <v>27</v>
      </c>
      <c r="H13" s="54">
        <v>1320</v>
      </c>
      <c r="I13" s="29">
        <v>21</v>
      </c>
      <c r="J13" s="39">
        <v>224</v>
      </c>
      <c r="K13" s="54">
        <v>1498</v>
      </c>
      <c r="L13" s="54">
        <v>2089</v>
      </c>
      <c r="M13" s="29">
        <v>314</v>
      </c>
      <c r="N13" s="39">
        <v>112</v>
      </c>
      <c r="O13" s="54">
        <v>125</v>
      </c>
      <c r="P13" s="54">
        <v>799</v>
      </c>
      <c r="Q13" s="29">
        <f t="shared" si="0"/>
        <v>2995</v>
      </c>
      <c r="R13" s="572">
        <f t="shared" si="1"/>
        <v>8247</v>
      </c>
    </row>
    <row r="14" spans="2:18" ht="17.100000000000001" customHeight="1">
      <c r="B14" s="33">
        <v>8</v>
      </c>
      <c r="C14" s="55" t="s">
        <v>602</v>
      </c>
      <c r="D14" s="29">
        <v>9796</v>
      </c>
      <c r="E14" s="29">
        <v>1455</v>
      </c>
      <c r="F14" s="39">
        <v>900</v>
      </c>
      <c r="G14" s="54">
        <v>27</v>
      </c>
      <c r="H14" s="54">
        <v>1140</v>
      </c>
      <c r="I14" s="29">
        <v>76</v>
      </c>
      <c r="J14" s="39">
        <v>606</v>
      </c>
      <c r="K14" s="54">
        <v>3541</v>
      </c>
      <c r="L14" s="54">
        <v>6080</v>
      </c>
      <c r="M14" s="29">
        <v>812</v>
      </c>
      <c r="N14" s="39">
        <v>30</v>
      </c>
      <c r="O14" s="54">
        <v>24</v>
      </c>
      <c r="P14" s="54">
        <v>115</v>
      </c>
      <c r="Q14" s="29">
        <f t="shared" si="0"/>
        <v>5935</v>
      </c>
      <c r="R14" s="572">
        <f t="shared" si="1"/>
        <v>18667</v>
      </c>
    </row>
    <row r="15" spans="2:18" ht="17.100000000000001" customHeight="1">
      <c r="B15" s="33">
        <v>9</v>
      </c>
      <c r="C15" s="55" t="s">
        <v>605</v>
      </c>
      <c r="D15" s="29">
        <v>3570</v>
      </c>
      <c r="E15" s="29">
        <v>366</v>
      </c>
      <c r="F15" s="39">
        <v>850</v>
      </c>
      <c r="G15" s="54">
        <v>38</v>
      </c>
      <c r="H15" s="54">
        <v>1800</v>
      </c>
      <c r="I15" s="998" t="s">
        <v>1127</v>
      </c>
      <c r="J15" s="997" t="s">
        <v>1127</v>
      </c>
      <c r="K15" s="984" t="s">
        <v>1127</v>
      </c>
      <c r="L15" s="984" t="s">
        <v>1127</v>
      </c>
      <c r="M15" s="29">
        <v>250</v>
      </c>
      <c r="N15" s="39">
        <v>40</v>
      </c>
      <c r="O15" s="54">
        <v>3</v>
      </c>
      <c r="P15" s="54">
        <v>30</v>
      </c>
      <c r="Q15" s="29">
        <f t="shared" si="0"/>
        <v>657</v>
      </c>
      <c r="R15" s="572">
        <f t="shared" si="1"/>
        <v>6290</v>
      </c>
    </row>
    <row r="16" spans="2:18" ht="17.100000000000001" customHeight="1">
      <c r="B16" s="33">
        <v>10</v>
      </c>
      <c r="C16" s="55" t="s">
        <v>604</v>
      </c>
      <c r="D16" s="29">
        <v>5246</v>
      </c>
      <c r="E16" s="29">
        <v>475</v>
      </c>
      <c r="F16" s="39">
        <v>1500</v>
      </c>
      <c r="G16" s="54">
        <v>17</v>
      </c>
      <c r="H16" s="54">
        <v>600</v>
      </c>
      <c r="I16" s="998" t="s">
        <v>1127</v>
      </c>
      <c r="J16" s="997" t="s">
        <v>1127</v>
      </c>
      <c r="K16" s="984" t="s">
        <v>1127</v>
      </c>
      <c r="L16" s="984" t="s">
        <v>1127</v>
      </c>
      <c r="M16" s="29">
        <v>525</v>
      </c>
      <c r="N16" s="39">
        <v>370</v>
      </c>
      <c r="O16" s="54">
        <v>6</v>
      </c>
      <c r="P16" s="54">
        <v>280</v>
      </c>
      <c r="Q16" s="29">
        <f t="shared" si="0"/>
        <v>1023</v>
      </c>
      <c r="R16" s="572">
        <f t="shared" si="1"/>
        <v>7996</v>
      </c>
    </row>
    <row r="17" spans="2:18" ht="17.100000000000001" customHeight="1">
      <c r="B17" s="33">
        <v>11</v>
      </c>
      <c r="C17" s="55" t="s">
        <v>368</v>
      </c>
      <c r="D17" s="29">
        <v>929</v>
      </c>
      <c r="E17" s="29">
        <v>570</v>
      </c>
      <c r="F17" s="39">
        <v>1050</v>
      </c>
      <c r="G17" s="54">
        <v>26</v>
      </c>
      <c r="H17" s="54">
        <v>940</v>
      </c>
      <c r="I17" s="998" t="s">
        <v>1127</v>
      </c>
      <c r="J17" s="997" t="s">
        <v>1127</v>
      </c>
      <c r="K17" s="984" t="s">
        <v>1127</v>
      </c>
      <c r="L17" s="984" t="s">
        <v>1127</v>
      </c>
      <c r="M17" s="29">
        <v>580</v>
      </c>
      <c r="N17" s="39">
        <v>70</v>
      </c>
      <c r="O17" s="54">
        <v>5</v>
      </c>
      <c r="P17" s="54">
        <v>220</v>
      </c>
      <c r="Q17" s="29">
        <f t="shared" si="0"/>
        <v>1181</v>
      </c>
      <c r="R17" s="572">
        <f t="shared" si="1"/>
        <v>3209</v>
      </c>
    </row>
    <row r="18" spans="2:18" ht="17.100000000000001" customHeight="1">
      <c r="B18" s="33">
        <v>12</v>
      </c>
      <c r="C18" s="55" t="s">
        <v>606</v>
      </c>
      <c r="D18" s="29">
        <v>2890</v>
      </c>
      <c r="E18" s="29">
        <v>535</v>
      </c>
      <c r="F18" s="39">
        <v>260</v>
      </c>
      <c r="G18" s="54">
        <v>20</v>
      </c>
      <c r="H18" s="54">
        <v>800</v>
      </c>
      <c r="I18" s="986" t="s">
        <v>1127</v>
      </c>
      <c r="J18" s="987" t="s">
        <v>1127</v>
      </c>
      <c r="K18" s="985" t="s">
        <v>1127</v>
      </c>
      <c r="L18" s="985" t="s">
        <v>1127</v>
      </c>
      <c r="M18" s="29">
        <v>250</v>
      </c>
      <c r="N18" s="39">
        <v>95</v>
      </c>
      <c r="O18" s="54" t="s">
        <v>1127</v>
      </c>
      <c r="P18" s="54" t="s">
        <v>1127</v>
      </c>
      <c r="Q18" s="29">
        <f t="shared" si="0"/>
        <v>805</v>
      </c>
      <c r="R18" s="572">
        <f t="shared" si="1"/>
        <v>4045</v>
      </c>
    </row>
    <row r="19" spans="2:18" ht="17.100000000000001" customHeight="1">
      <c r="B19" s="33">
        <v>13</v>
      </c>
      <c r="C19" s="55" t="s">
        <v>347</v>
      </c>
      <c r="D19" s="29">
        <v>12262</v>
      </c>
      <c r="E19" s="90">
        <v>260</v>
      </c>
      <c r="F19" s="101">
        <v>1435</v>
      </c>
      <c r="G19" s="102">
        <v>31</v>
      </c>
      <c r="H19" s="102">
        <v>1300</v>
      </c>
      <c r="I19" s="995">
        <v>20</v>
      </c>
      <c r="J19" s="101">
        <v>232</v>
      </c>
      <c r="K19" s="54">
        <v>578</v>
      </c>
      <c r="L19" s="54">
        <v>1350</v>
      </c>
      <c r="M19" s="29">
        <v>10</v>
      </c>
      <c r="N19" s="39">
        <v>5</v>
      </c>
      <c r="O19" s="54">
        <v>16</v>
      </c>
      <c r="P19" s="54">
        <v>400</v>
      </c>
      <c r="Q19" s="29">
        <f t="shared" si="0"/>
        <v>915</v>
      </c>
      <c r="R19" s="572">
        <f t="shared" si="1"/>
        <v>16984</v>
      </c>
    </row>
    <row r="20" spans="2:18" ht="17.100000000000001" customHeight="1">
      <c r="B20" s="33">
        <v>14</v>
      </c>
      <c r="C20" s="55" t="s">
        <v>369</v>
      </c>
      <c r="D20" s="29">
        <v>11853</v>
      </c>
      <c r="E20" s="90">
        <v>630</v>
      </c>
      <c r="F20" s="101">
        <v>1790</v>
      </c>
      <c r="G20" s="102">
        <v>28</v>
      </c>
      <c r="H20" s="102">
        <v>1120</v>
      </c>
      <c r="I20" s="115">
        <v>10</v>
      </c>
      <c r="J20" s="149">
        <v>116</v>
      </c>
      <c r="K20" s="54">
        <v>690</v>
      </c>
      <c r="L20" s="54">
        <v>2400</v>
      </c>
      <c r="M20" s="29">
        <v>250</v>
      </c>
      <c r="N20" s="39">
        <v>45</v>
      </c>
      <c r="O20" s="54">
        <v>538</v>
      </c>
      <c r="P20" s="54">
        <v>1820</v>
      </c>
      <c r="Q20" s="29">
        <f t="shared" si="0"/>
        <v>2146</v>
      </c>
      <c r="R20" s="572">
        <f t="shared" si="1"/>
        <v>19144</v>
      </c>
    </row>
    <row r="21" spans="2:18" ht="17.100000000000001" customHeight="1">
      <c r="B21" s="33">
        <v>15</v>
      </c>
      <c r="C21" s="55" t="s">
        <v>349</v>
      </c>
      <c r="D21" s="29">
        <v>14072</v>
      </c>
      <c r="E21" s="90">
        <v>527</v>
      </c>
      <c r="F21" s="101">
        <v>2030</v>
      </c>
      <c r="G21" s="102">
        <v>32</v>
      </c>
      <c r="H21" s="102">
        <v>1360</v>
      </c>
      <c r="I21" s="64" t="s">
        <v>1127</v>
      </c>
      <c r="J21" s="44" t="s">
        <v>1127</v>
      </c>
      <c r="K21" s="54">
        <v>165</v>
      </c>
      <c r="L21" s="54">
        <v>385</v>
      </c>
      <c r="M21" s="29">
        <v>235</v>
      </c>
      <c r="N21" s="39">
        <v>480</v>
      </c>
      <c r="O21" s="54">
        <v>20</v>
      </c>
      <c r="P21" s="54">
        <v>600</v>
      </c>
      <c r="Q21" s="29">
        <f t="shared" si="0"/>
        <v>979</v>
      </c>
      <c r="R21" s="572">
        <f t="shared" si="1"/>
        <v>18927</v>
      </c>
    </row>
    <row r="22" spans="2:18" ht="17.100000000000001" customHeight="1">
      <c r="B22" s="33">
        <v>16</v>
      </c>
      <c r="C22" s="55" t="s">
        <v>370</v>
      </c>
      <c r="D22" s="29">
        <v>9723</v>
      </c>
      <c r="E22" s="90">
        <v>305</v>
      </c>
      <c r="F22" s="101">
        <v>950</v>
      </c>
      <c r="G22" s="102">
        <v>18</v>
      </c>
      <c r="H22" s="102">
        <v>700</v>
      </c>
      <c r="I22" s="64" t="s">
        <v>1127</v>
      </c>
      <c r="J22" s="44" t="s">
        <v>1127</v>
      </c>
      <c r="K22" s="102">
        <v>1315</v>
      </c>
      <c r="L22" s="102">
        <v>2905</v>
      </c>
      <c r="M22" s="90">
        <v>135</v>
      </c>
      <c r="N22" s="101">
        <v>17</v>
      </c>
      <c r="O22" s="102">
        <v>66</v>
      </c>
      <c r="P22" s="102">
        <v>1075</v>
      </c>
      <c r="Q22" s="29">
        <f t="shared" si="0"/>
        <v>1839</v>
      </c>
      <c r="R22" s="572">
        <f t="shared" si="1"/>
        <v>15370</v>
      </c>
    </row>
    <row r="23" spans="2:18" ht="17.100000000000001" customHeight="1">
      <c r="B23" s="33">
        <v>17</v>
      </c>
      <c r="C23" s="55" t="s">
        <v>350</v>
      </c>
      <c r="D23" s="90">
        <v>6760</v>
      </c>
      <c r="E23" s="90">
        <v>475</v>
      </c>
      <c r="F23" s="101">
        <v>350</v>
      </c>
      <c r="G23" s="102">
        <v>24</v>
      </c>
      <c r="H23" s="102">
        <v>820</v>
      </c>
      <c r="I23" s="90">
        <v>71</v>
      </c>
      <c r="J23" s="101">
        <v>1050</v>
      </c>
      <c r="K23" s="102">
        <v>3810</v>
      </c>
      <c r="L23" s="102">
        <v>11094</v>
      </c>
      <c r="M23" s="90">
        <v>100</v>
      </c>
      <c r="N23" s="101">
        <v>20</v>
      </c>
      <c r="O23" s="102">
        <v>522</v>
      </c>
      <c r="P23" s="624">
        <v>290</v>
      </c>
      <c r="Q23" s="29">
        <f t="shared" si="0"/>
        <v>5002</v>
      </c>
      <c r="R23" s="572">
        <f t="shared" si="1"/>
        <v>20384</v>
      </c>
    </row>
    <row r="24" spans="2:18" ht="17.100000000000001" customHeight="1">
      <c r="B24" s="33">
        <v>18</v>
      </c>
      <c r="C24" s="55" t="s">
        <v>351</v>
      </c>
      <c r="D24" s="90">
        <v>14474</v>
      </c>
      <c r="E24" s="90">
        <v>3835</v>
      </c>
      <c r="F24" s="101">
        <v>2021</v>
      </c>
      <c r="G24" s="102">
        <v>14</v>
      </c>
      <c r="H24" s="102">
        <v>560</v>
      </c>
      <c r="I24" s="90">
        <v>43</v>
      </c>
      <c r="J24" s="101">
        <v>524</v>
      </c>
      <c r="K24" s="102">
        <v>2569</v>
      </c>
      <c r="L24" s="102">
        <v>2178</v>
      </c>
      <c r="M24" s="90">
        <v>435</v>
      </c>
      <c r="N24" s="101">
        <v>150</v>
      </c>
      <c r="O24" s="103" t="s">
        <v>1127</v>
      </c>
      <c r="P24" s="103" t="s">
        <v>1127</v>
      </c>
      <c r="Q24" s="29">
        <f t="shared" si="0"/>
        <v>6896</v>
      </c>
      <c r="R24" s="572">
        <f t="shared" si="1"/>
        <v>19907</v>
      </c>
    </row>
    <row r="25" spans="2:18" ht="17.100000000000001" customHeight="1">
      <c r="B25" s="33">
        <v>19</v>
      </c>
      <c r="C25" s="55" t="s">
        <v>352</v>
      </c>
      <c r="D25" s="29">
        <v>13192</v>
      </c>
      <c r="E25" s="90">
        <v>1515</v>
      </c>
      <c r="F25" s="101">
        <v>1612</v>
      </c>
      <c r="G25" s="102">
        <v>16</v>
      </c>
      <c r="H25" s="102">
        <v>820</v>
      </c>
      <c r="I25" s="90">
        <v>42</v>
      </c>
      <c r="J25" s="101">
        <v>702</v>
      </c>
      <c r="K25" s="102">
        <v>2562</v>
      </c>
      <c r="L25" s="102">
        <v>3661</v>
      </c>
      <c r="M25" s="995" t="s">
        <v>1127</v>
      </c>
      <c r="N25" s="996" t="s">
        <v>1127</v>
      </c>
      <c r="O25" s="103" t="s">
        <v>1127</v>
      </c>
      <c r="P25" s="103" t="s">
        <v>1127</v>
      </c>
      <c r="Q25" s="29">
        <f t="shared" si="0"/>
        <v>4135</v>
      </c>
      <c r="R25" s="572">
        <f t="shared" si="1"/>
        <v>19987</v>
      </c>
    </row>
    <row r="26" spans="2:18" ht="17.100000000000001" customHeight="1">
      <c r="B26" s="33">
        <v>20</v>
      </c>
      <c r="C26" s="55" t="s">
        <v>353</v>
      </c>
      <c r="D26" s="90">
        <v>14900</v>
      </c>
      <c r="E26" s="90">
        <v>35</v>
      </c>
      <c r="F26" s="101">
        <v>250</v>
      </c>
      <c r="G26" s="102">
        <v>19</v>
      </c>
      <c r="H26" s="102">
        <v>580</v>
      </c>
      <c r="I26" s="90">
        <v>70</v>
      </c>
      <c r="J26" s="101">
        <v>866</v>
      </c>
      <c r="K26" s="102">
        <v>4015</v>
      </c>
      <c r="L26" s="102">
        <v>4825</v>
      </c>
      <c r="M26" s="90">
        <v>13</v>
      </c>
      <c r="N26" s="101">
        <v>12</v>
      </c>
      <c r="O26" s="102">
        <v>15</v>
      </c>
      <c r="P26" s="102">
        <v>242</v>
      </c>
      <c r="Q26" s="29">
        <f t="shared" si="0"/>
        <v>4167</v>
      </c>
      <c r="R26" s="572">
        <f t="shared" si="1"/>
        <v>21675</v>
      </c>
    </row>
    <row r="27" spans="2:18" ht="17.100000000000001" customHeight="1">
      <c r="B27" s="33">
        <v>21</v>
      </c>
      <c r="C27" s="55" t="s">
        <v>354</v>
      </c>
      <c r="D27" s="90">
        <v>7727</v>
      </c>
      <c r="E27" s="90">
        <v>60</v>
      </c>
      <c r="F27" s="101">
        <v>225</v>
      </c>
      <c r="G27" s="102">
        <v>26</v>
      </c>
      <c r="H27" s="102">
        <v>980</v>
      </c>
      <c r="I27" s="90">
        <v>34</v>
      </c>
      <c r="J27" s="101">
        <v>438</v>
      </c>
      <c r="K27" s="102">
        <v>4025</v>
      </c>
      <c r="L27" s="102">
        <v>8432</v>
      </c>
      <c r="M27" s="90">
        <v>70</v>
      </c>
      <c r="N27" s="101">
        <v>55</v>
      </c>
      <c r="O27" s="102">
        <v>6</v>
      </c>
      <c r="P27" s="102">
        <v>10</v>
      </c>
      <c r="Q27" s="29">
        <f t="shared" si="0"/>
        <v>4221</v>
      </c>
      <c r="R27" s="572">
        <f t="shared" si="1"/>
        <v>17867</v>
      </c>
    </row>
    <row r="28" spans="2:18" ht="17.100000000000001" customHeight="1">
      <c r="B28" s="41">
        <v>22</v>
      </c>
      <c r="C28" s="100" t="s">
        <v>355</v>
      </c>
      <c r="D28" s="92">
        <v>13001</v>
      </c>
      <c r="E28" s="92">
        <v>2000</v>
      </c>
      <c r="F28" s="104">
        <v>200</v>
      </c>
      <c r="G28" s="105">
        <v>9</v>
      </c>
      <c r="H28" s="105">
        <v>420</v>
      </c>
      <c r="I28" s="92">
        <v>42</v>
      </c>
      <c r="J28" s="104">
        <v>538</v>
      </c>
      <c r="K28" s="105">
        <v>4300</v>
      </c>
      <c r="L28" s="105">
        <v>6644</v>
      </c>
      <c r="M28" s="97" t="s">
        <v>1127</v>
      </c>
      <c r="N28" s="994" t="s">
        <v>1127</v>
      </c>
      <c r="O28" s="993" t="s">
        <v>1127</v>
      </c>
      <c r="P28" s="993" t="s">
        <v>1127</v>
      </c>
      <c r="Q28" s="29">
        <f t="shared" si="0"/>
        <v>6351</v>
      </c>
      <c r="R28" s="572">
        <f t="shared" si="1"/>
        <v>20803</v>
      </c>
    </row>
    <row r="29" spans="2:18">
      <c r="B29" s="723"/>
      <c r="C29" s="759"/>
      <c r="D29" s="516"/>
      <c r="E29" s="651"/>
      <c r="F29" s="516"/>
      <c r="G29" s="516"/>
      <c r="H29" s="516"/>
      <c r="I29" s="703"/>
      <c r="J29" s="760"/>
      <c r="K29" s="651"/>
      <c r="L29" s="713"/>
      <c r="M29" s="713" t="s">
        <v>1028</v>
      </c>
      <c r="N29" s="1593" t="s">
        <v>525</v>
      </c>
      <c r="O29" s="1593"/>
      <c r="P29" s="1593"/>
      <c r="Q29" s="1593"/>
      <c r="R29" s="1593"/>
    </row>
    <row r="30" spans="2:18">
      <c r="B30" s="55"/>
      <c r="C30" s="516"/>
      <c r="D30" s="516"/>
      <c r="E30" s="651"/>
      <c r="F30" s="516"/>
      <c r="G30" s="516"/>
      <c r="H30" s="516"/>
      <c r="I30" s="730"/>
      <c r="J30" s="761"/>
      <c r="K30" s="651"/>
      <c r="L30" s="651"/>
      <c r="M30" s="516"/>
      <c r="N30" s="719" t="s">
        <v>1302</v>
      </c>
      <c r="O30" s="719"/>
      <c r="P30" s="719"/>
      <c r="Q30" s="719"/>
      <c r="R30" s="719"/>
    </row>
    <row r="31" spans="2:18">
      <c r="C31" s="516"/>
      <c r="D31" s="99"/>
      <c r="E31" s="651"/>
      <c r="F31" s="516"/>
      <c r="G31" s="99"/>
      <c r="H31" s="99"/>
      <c r="I31" s="730"/>
      <c r="J31" s="761"/>
      <c r="K31" s="651"/>
      <c r="L31" s="651"/>
      <c r="M31" s="516"/>
      <c r="N31" s="720" t="s">
        <v>1303</v>
      </c>
      <c r="O31" s="719"/>
      <c r="P31" s="720"/>
      <c r="Q31" s="720"/>
      <c r="R31" s="720"/>
    </row>
    <row r="32" spans="2:18">
      <c r="C32" s="651"/>
      <c r="D32" s="651"/>
      <c r="E32" s="703"/>
      <c r="F32" s="762"/>
      <c r="G32" s="745"/>
      <c r="H32" s="745"/>
      <c r="I32" s="745"/>
      <c r="J32" s="745"/>
      <c r="K32" s="745"/>
      <c r="L32" s="651"/>
      <c r="M32" s="651"/>
      <c r="N32" s="651"/>
      <c r="O32" s="651"/>
      <c r="P32" s="651"/>
      <c r="Q32" s="651"/>
      <c r="R32" s="651"/>
    </row>
    <row r="33" spans="3:18" ht="14.25" customHeight="1">
      <c r="C33" s="651"/>
      <c r="D33" s="651"/>
      <c r="E33" s="651"/>
      <c r="G33" s="651"/>
      <c r="H33" s="651"/>
      <c r="I33" s="651"/>
      <c r="J33" s="651"/>
      <c r="K33" s="651"/>
      <c r="L33" s="651"/>
      <c r="M33" s="651"/>
      <c r="N33" s="651"/>
      <c r="O33" s="651"/>
      <c r="P33" s="651"/>
      <c r="Q33" s="651"/>
      <c r="R33" s="651"/>
    </row>
    <row r="34" spans="3:18">
      <c r="G34" s="15"/>
      <c r="H34" s="15"/>
    </row>
  </sheetData>
  <mergeCells count="12">
    <mergeCell ref="C4:C5"/>
    <mergeCell ref="N29:R29"/>
    <mergeCell ref="B1:R1"/>
    <mergeCell ref="B2:R2"/>
    <mergeCell ref="K4:L4"/>
    <mergeCell ref="M4:N4"/>
    <mergeCell ref="O4:P4"/>
    <mergeCell ref="Q4:R4"/>
    <mergeCell ref="E4:F4"/>
    <mergeCell ref="D4:D5"/>
    <mergeCell ref="G4:H4"/>
    <mergeCell ref="I4:J4"/>
  </mergeCells>
  <phoneticPr fontId="0" type="noConversion"/>
  <printOptions horizontalCentered="1"/>
  <pageMargins left="0.17" right="0.1" top="0.54" bottom="0.1" header="0.59" footer="0.1"/>
  <pageSetup paperSize="9" orientation="landscape" blackAndWhite="1" r:id="rId1"/>
  <headerFooter alignWithMargins="0"/>
  <legacyDrawing r:id="rId2"/>
  <oleObjects>
    <oleObject progId="Word.Document.8" shapeId="20481" r:id="rId3"/>
  </oleObjects>
</worksheet>
</file>

<file path=xl/worksheets/sheet84.xml><?xml version="1.0" encoding="utf-8"?>
<worksheet xmlns="http://schemas.openxmlformats.org/spreadsheetml/2006/main" xmlns:r="http://schemas.openxmlformats.org/officeDocument/2006/relationships">
  <sheetPr codeName="Sheet101"/>
  <dimension ref="A1:I33"/>
  <sheetViews>
    <sheetView workbookViewId="0">
      <selection activeCell="L7" sqref="L7"/>
    </sheetView>
  </sheetViews>
  <sheetFormatPr defaultRowHeight="12.75"/>
  <cols>
    <col min="1" max="1" width="4.85546875" style="2" customWidth="1"/>
    <col min="2" max="2" width="19.140625" style="2" customWidth="1"/>
    <col min="3" max="3" width="12.28515625" style="2" customWidth="1"/>
    <col min="4" max="4" width="12.85546875" style="23" customWidth="1"/>
    <col min="5" max="5" width="15.42578125" style="2" customWidth="1"/>
    <col min="6" max="6" width="17.5703125" style="2" customWidth="1"/>
    <col min="7" max="7" width="19" style="2" customWidth="1"/>
    <col min="8" max="8" width="15.140625" style="2" customWidth="1"/>
    <col min="9" max="9" width="16.140625" style="2" customWidth="1"/>
    <col min="10" max="10" width="11.7109375" style="2" customWidth="1"/>
    <col min="11" max="16384" width="9.140625" style="2"/>
  </cols>
  <sheetData>
    <row r="1" spans="1:9" ht="12" customHeight="1">
      <c r="A1" s="1181" t="s">
        <v>1548</v>
      </c>
      <c r="B1" s="1181"/>
      <c r="C1" s="1181"/>
      <c r="D1" s="1181"/>
      <c r="E1" s="1181"/>
      <c r="F1" s="1181"/>
      <c r="G1" s="1181"/>
      <c r="H1" s="1181"/>
      <c r="I1" s="1181"/>
    </row>
    <row r="2" spans="1:9" ht="18" customHeight="1">
      <c r="A2" s="1231" t="str">
        <f>CONCATENATE("Particulars of  Fisheries in the Blocks of ",District!$A$1," for the year ",District!B3)</f>
        <v>Particulars of  Fisheries in the Blocks of Bankura for the year 2013-14</v>
      </c>
      <c r="B2" s="1231"/>
      <c r="C2" s="1231"/>
      <c r="D2" s="1231"/>
      <c r="E2" s="1231"/>
      <c r="F2" s="1231"/>
      <c r="G2" s="1231"/>
      <c r="H2" s="1231"/>
      <c r="I2" s="1231"/>
    </row>
    <row r="3" spans="1:9" ht="40.5" customHeight="1">
      <c r="A3" s="207" t="s">
        <v>1528</v>
      </c>
      <c r="B3" s="207" t="s">
        <v>495</v>
      </c>
      <c r="C3" s="207" t="s">
        <v>612</v>
      </c>
      <c r="D3" s="781" t="s">
        <v>694</v>
      </c>
      <c r="E3" s="207" t="s">
        <v>1664</v>
      </c>
      <c r="F3" s="229" t="s">
        <v>1662</v>
      </c>
      <c r="G3" s="207" t="s">
        <v>1663</v>
      </c>
      <c r="H3" s="229" t="s">
        <v>1661</v>
      </c>
      <c r="I3" s="207" t="s">
        <v>1304</v>
      </c>
    </row>
    <row r="4" spans="1:9" s="55" customFormat="1" ht="15.95" customHeight="1">
      <c r="A4" s="213" t="s">
        <v>418</v>
      </c>
      <c r="B4" s="222" t="s">
        <v>419</v>
      </c>
      <c r="C4" s="213" t="s">
        <v>420</v>
      </c>
      <c r="D4" s="569" t="s">
        <v>421</v>
      </c>
      <c r="E4" s="213" t="s">
        <v>422</v>
      </c>
      <c r="F4" s="222" t="s">
        <v>423</v>
      </c>
      <c r="G4" s="213" t="s">
        <v>424</v>
      </c>
      <c r="H4" s="213" t="s">
        <v>440</v>
      </c>
      <c r="I4" s="214" t="s">
        <v>441</v>
      </c>
    </row>
    <row r="5" spans="1:9" s="55" customFormat="1" ht="18" customHeight="1">
      <c r="A5" s="33">
        <v>1</v>
      </c>
      <c r="B5" s="190" t="s">
        <v>596</v>
      </c>
      <c r="C5" s="57">
        <v>6</v>
      </c>
      <c r="D5" s="629">
        <v>547.4</v>
      </c>
      <c r="E5" s="972">
        <v>547.4</v>
      </c>
      <c r="F5" s="877">
        <v>1221</v>
      </c>
      <c r="G5" s="156">
        <v>1020</v>
      </c>
      <c r="H5" s="877">
        <v>4590</v>
      </c>
      <c r="I5" s="572">
        <v>16320</v>
      </c>
    </row>
    <row r="6" spans="1:9" s="55" customFormat="1" ht="18" customHeight="1">
      <c r="A6" s="33">
        <v>2</v>
      </c>
      <c r="B6" s="190" t="s">
        <v>595</v>
      </c>
      <c r="C6" s="57">
        <v>6</v>
      </c>
      <c r="D6" s="70">
        <v>1449.76</v>
      </c>
      <c r="E6" s="972">
        <v>1449.76</v>
      </c>
      <c r="F6" s="560">
        <v>1206</v>
      </c>
      <c r="G6" s="156">
        <v>1047</v>
      </c>
      <c r="H6" s="560">
        <v>4712</v>
      </c>
      <c r="I6" s="572">
        <v>15705</v>
      </c>
    </row>
    <row r="7" spans="1:9" s="55" customFormat="1" ht="18" customHeight="1">
      <c r="A7" s="33">
        <v>3</v>
      </c>
      <c r="B7" s="570" t="s">
        <v>597</v>
      </c>
      <c r="C7" s="57">
        <v>6</v>
      </c>
      <c r="D7" s="70">
        <v>1030.3800000000001</v>
      </c>
      <c r="E7" s="972">
        <v>1030.3800000000001</v>
      </c>
      <c r="F7" s="560">
        <v>2234</v>
      </c>
      <c r="G7" s="156">
        <v>2085</v>
      </c>
      <c r="H7" s="560">
        <v>4790</v>
      </c>
      <c r="I7" s="572">
        <v>31275</v>
      </c>
    </row>
    <row r="8" spans="1:9" s="55" customFormat="1" ht="18" customHeight="1">
      <c r="A8" s="33">
        <v>4</v>
      </c>
      <c r="B8" s="570" t="s">
        <v>598</v>
      </c>
      <c r="C8" s="57">
        <v>5</v>
      </c>
      <c r="D8" s="70">
        <v>433.2</v>
      </c>
      <c r="E8" s="972">
        <v>433.2</v>
      </c>
      <c r="F8" s="560">
        <v>985</v>
      </c>
      <c r="G8" s="156">
        <v>783</v>
      </c>
      <c r="H8" s="560">
        <v>1957</v>
      </c>
      <c r="I8" s="572">
        <v>13080</v>
      </c>
    </row>
    <row r="9" spans="1:9" s="55" customFormat="1" ht="18" customHeight="1">
      <c r="A9" s="33">
        <v>5</v>
      </c>
      <c r="B9" s="570" t="s">
        <v>599</v>
      </c>
      <c r="C9" s="57">
        <v>4</v>
      </c>
      <c r="D9" s="70">
        <v>252</v>
      </c>
      <c r="E9" s="972">
        <v>252</v>
      </c>
      <c r="F9" s="560">
        <v>526</v>
      </c>
      <c r="G9" s="156">
        <v>485</v>
      </c>
      <c r="H9" s="560">
        <v>3360</v>
      </c>
      <c r="I9" s="572">
        <v>8870</v>
      </c>
    </row>
    <row r="10" spans="1:9" s="55" customFormat="1" ht="18" customHeight="1">
      <c r="A10" s="33">
        <v>6</v>
      </c>
      <c r="B10" s="190" t="s">
        <v>771</v>
      </c>
      <c r="C10" s="57">
        <v>6</v>
      </c>
      <c r="D10" s="70">
        <v>519</v>
      </c>
      <c r="E10" s="973">
        <v>519</v>
      </c>
      <c r="F10" s="560">
        <v>2258</v>
      </c>
      <c r="G10" s="156">
        <v>1866</v>
      </c>
      <c r="H10" s="560">
        <v>3320</v>
      </c>
      <c r="I10" s="572">
        <v>27760</v>
      </c>
    </row>
    <row r="11" spans="1:9" s="55" customFormat="1" ht="18" customHeight="1">
      <c r="A11" s="33">
        <v>7</v>
      </c>
      <c r="B11" s="570" t="s">
        <v>1390</v>
      </c>
      <c r="C11" s="57">
        <v>5</v>
      </c>
      <c r="D11" s="70">
        <v>617</v>
      </c>
      <c r="E11" s="972">
        <v>617</v>
      </c>
      <c r="F11" s="560">
        <v>1441</v>
      </c>
      <c r="G11" s="156">
        <v>1295</v>
      </c>
      <c r="H11" s="560">
        <v>4860</v>
      </c>
      <c r="I11" s="572">
        <v>35580</v>
      </c>
    </row>
    <row r="12" spans="1:9" s="55" customFormat="1" ht="18" customHeight="1">
      <c r="A12" s="33">
        <v>8</v>
      </c>
      <c r="B12" s="570" t="s">
        <v>602</v>
      </c>
      <c r="C12" s="57">
        <v>5</v>
      </c>
      <c r="D12" s="70">
        <v>580.5</v>
      </c>
      <c r="E12" s="972">
        <v>580.5</v>
      </c>
      <c r="F12" s="560">
        <v>3068</v>
      </c>
      <c r="G12" s="156">
        <v>2526</v>
      </c>
      <c r="H12" s="560">
        <v>8060</v>
      </c>
      <c r="I12" s="572">
        <v>70728</v>
      </c>
    </row>
    <row r="13" spans="1:9" s="55" customFormat="1" ht="18" customHeight="1">
      <c r="A13" s="33">
        <v>9</v>
      </c>
      <c r="B13" s="570" t="s">
        <v>605</v>
      </c>
      <c r="C13" s="57">
        <v>5</v>
      </c>
      <c r="D13" s="70">
        <v>287.8</v>
      </c>
      <c r="E13" s="972">
        <v>287.8</v>
      </c>
      <c r="F13" s="560">
        <v>1520</v>
      </c>
      <c r="G13" s="156">
        <v>1482</v>
      </c>
      <c r="H13" s="560">
        <v>3680</v>
      </c>
      <c r="I13" s="572">
        <v>23712</v>
      </c>
    </row>
    <row r="14" spans="1:9" s="55" customFormat="1" ht="18" customHeight="1">
      <c r="A14" s="33">
        <v>10</v>
      </c>
      <c r="B14" s="570" t="s">
        <v>604</v>
      </c>
      <c r="C14" s="57">
        <v>7</v>
      </c>
      <c r="D14" s="70">
        <v>681.3</v>
      </c>
      <c r="E14" s="972">
        <v>681.3</v>
      </c>
      <c r="F14" s="560">
        <v>476</v>
      </c>
      <c r="G14" s="156">
        <v>435</v>
      </c>
      <c r="H14" s="560">
        <v>5385</v>
      </c>
      <c r="I14" s="572">
        <v>9560</v>
      </c>
    </row>
    <row r="15" spans="1:9" s="55" customFormat="1" ht="18" customHeight="1">
      <c r="A15" s="33">
        <v>11</v>
      </c>
      <c r="B15" s="570" t="s">
        <v>368</v>
      </c>
      <c r="C15" s="57">
        <v>5</v>
      </c>
      <c r="D15" s="70">
        <v>436</v>
      </c>
      <c r="E15" s="972">
        <v>436</v>
      </c>
      <c r="F15" s="560">
        <v>362</v>
      </c>
      <c r="G15" s="156">
        <v>303</v>
      </c>
      <c r="H15" s="560">
        <v>4590</v>
      </c>
      <c r="I15" s="572">
        <v>5790</v>
      </c>
    </row>
    <row r="16" spans="1:9" s="55" customFormat="1" ht="18" customHeight="1">
      <c r="A16" s="33">
        <v>12</v>
      </c>
      <c r="B16" s="570" t="s">
        <v>606</v>
      </c>
      <c r="C16" s="57">
        <v>5</v>
      </c>
      <c r="D16" s="70">
        <v>517.70000000000005</v>
      </c>
      <c r="E16" s="972">
        <v>517.70000000000005</v>
      </c>
      <c r="F16" s="560">
        <v>619</v>
      </c>
      <c r="G16" s="156">
        <v>569</v>
      </c>
      <c r="H16" s="560">
        <v>3466</v>
      </c>
      <c r="I16" s="572">
        <v>6828</v>
      </c>
    </row>
    <row r="17" spans="1:9" s="55" customFormat="1" ht="18" customHeight="1">
      <c r="A17" s="33">
        <v>13</v>
      </c>
      <c r="B17" s="570" t="s">
        <v>347</v>
      </c>
      <c r="C17" s="57">
        <v>5</v>
      </c>
      <c r="D17" s="70">
        <v>451.1</v>
      </c>
      <c r="E17" s="973">
        <v>451.1</v>
      </c>
      <c r="F17" s="560">
        <v>487</v>
      </c>
      <c r="G17" s="156">
        <v>465</v>
      </c>
      <c r="H17" s="560">
        <v>5230</v>
      </c>
      <c r="I17" s="572">
        <v>10800</v>
      </c>
    </row>
    <row r="18" spans="1:9" s="55" customFormat="1" ht="18" customHeight="1">
      <c r="A18" s="33">
        <v>14</v>
      </c>
      <c r="B18" s="570" t="s">
        <v>369</v>
      </c>
      <c r="C18" s="57">
        <v>6</v>
      </c>
      <c r="D18" s="70">
        <v>1728.97</v>
      </c>
      <c r="E18" s="973">
        <v>1728.97</v>
      </c>
      <c r="F18" s="560">
        <v>998</v>
      </c>
      <c r="G18" s="156">
        <v>980</v>
      </c>
      <c r="H18" s="560">
        <v>4975</v>
      </c>
      <c r="I18" s="572">
        <v>12566</v>
      </c>
    </row>
    <row r="19" spans="1:9" s="55" customFormat="1" ht="18" customHeight="1">
      <c r="A19" s="33">
        <v>15</v>
      </c>
      <c r="B19" s="570" t="s">
        <v>349</v>
      </c>
      <c r="C19" s="57">
        <v>5</v>
      </c>
      <c r="D19" s="70">
        <v>479.5</v>
      </c>
      <c r="E19" s="973">
        <v>479.5</v>
      </c>
      <c r="F19" s="560">
        <v>967</v>
      </c>
      <c r="G19" s="156">
        <v>773</v>
      </c>
      <c r="H19" s="560">
        <v>4385</v>
      </c>
      <c r="I19" s="572">
        <v>13190</v>
      </c>
    </row>
    <row r="20" spans="1:9" s="55" customFormat="1" ht="18" customHeight="1">
      <c r="A20" s="33">
        <v>16</v>
      </c>
      <c r="B20" s="570" t="s">
        <v>370</v>
      </c>
      <c r="C20" s="57">
        <v>5</v>
      </c>
      <c r="D20" s="70">
        <v>413.4</v>
      </c>
      <c r="E20" s="973">
        <v>413.4</v>
      </c>
      <c r="F20" s="560">
        <v>435</v>
      </c>
      <c r="G20" s="156">
        <v>343</v>
      </c>
      <c r="H20" s="560">
        <v>4120</v>
      </c>
      <c r="I20" s="572">
        <v>8575</v>
      </c>
    </row>
    <row r="21" spans="1:9" s="55" customFormat="1" ht="18" customHeight="1">
      <c r="A21" s="33">
        <v>17</v>
      </c>
      <c r="B21" s="190" t="s">
        <v>350</v>
      </c>
      <c r="C21" s="57">
        <v>6</v>
      </c>
      <c r="D21" s="70">
        <v>1392.44</v>
      </c>
      <c r="E21" s="973">
        <v>1392.44</v>
      </c>
      <c r="F21" s="560">
        <v>1126</v>
      </c>
      <c r="G21" s="156">
        <v>1000</v>
      </c>
      <c r="H21" s="560">
        <v>6780</v>
      </c>
      <c r="I21" s="572">
        <v>31000</v>
      </c>
    </row>
    <row r="22" spans="1:9" s="55" customFormat="1" ht="18" customHeight="1">
      <c r="A22" s="33">
        <v>18</v>
      </c>
      <c r="B22" s="190" t="s">
        <v>351</v>
      </c>
      <c r="C22" s="57">
        <v>5</v>
      </c>
      <c r="D22" s="70">
        <v>1689.74</v>
      </c>
      <c r="E22" s="973">
        <v>1689.74</v>
      </c>
      <c r="F22" s="560">
        <v>742</v>
      </c>
      <c r="G22" s="156">
        <v>685</v>
      </c>
      <c r="H22" s="560">
        <v>6020</v>
      </c>
      <c r="I22" s="572">
        <v>23975</v>
      </c>
    </row>
    <row r="23" spans="1:9" s="55" customFormat="1" ht="18" customHeight="1">
      <c r="A23" s="33">
        <v>19</v>
      </c>
      <c r="B23" s="190" t="s">
        <v>352</v>
      </c>
      <c r="C23" s="57">
        <v>5</v>
      </c>
      <c r="D23" s="70">
        <v>347.7</v>
      </c>
      <c r="E23" s="973">
        <v>347.7</v>
      </c>
      <c r="F23" s="560">
        <v>2187</v>
      </c>
      <c r="G23" s="156">
        <v>1975</v>
      </c>
      <c r="H23" s="560">
        <v>7420</v>
      </c>
      <c r="I23" s="572">
        <v>61225</v>
      </c>
    </row>
    <row r="24" spans="1:9" s="55" customFormat="1" ht="18" customHeight="1">
      <c r="A24" s="33">
        <v>20</v>
      </c>
      <c r="B24" s="190" t="s">
        <v>353</v>
      </c>
      <c r="C24" s="57">
        <v>7</v>
      </c>
      <c r="D24" s="70">
        <v>2334.7399999999998</v>
      </c>
      <c r="E24" s="973">
        <v>2334.7399999999998</v>
      </c>
      <c r="F24" s="560">
        <v>1309</v>
      </c>
      <c r="G24" s="156">
        <v>1170</v>
      </c>
      <c r="H24" s="560">
        <v>5680</v>
      </c>
      <c r="I24" s="572">
        <v>37440</v>
      </c>
    </row>
    <row r="25" spans="1:9" s="55" customFormat="1" ht="18" customHeight="1">
      <c r="A25" s="33">
        <v>21</v>
      </c>
      <c r="B25" s="190" t="s">
        <v>354</v>
      </c>
      <c r="C25" s="57">
        <v>5</v>
      </c>
      <c r="D25" s="70">
        <v>1478.31</v>
      </c>
      <c r="E25" s="973">
        <v>1478.31</v>
      </c>
      <c r="F25" s="560">
        <v>923</v>
      </c>
      <c r="G25" s="156">
        <v>830</v>
      </c>
      <c r="H25" s="560">
        <v>5370</v>
      </c>
      <c r="I25" s="572">
        <v>25730</v>
      </c>
    </row>
    <row r="26" spans="1:9" s="55" customFormat="1" ht="18" customHeight="1">
      <c r="A26" s="41">
        <v>22</v>
      </c>
      <c r="B26" s="100" t="s">
        <v>1126</v>
      </c>
      <c r="C26" s="622">
        <v>5</v>
      </c>
      <c r="D26" s="71">
        <v>363.5</v>
      </c>
      <c r="E26" s="71">
        <v>363.5</v>
      </c>
      <c r="F26" s="562">
        <v>723</v>
      </c>
      <c r="G26" s="626">
        <v>658</v>
      </c>
      <c r="H26" s="562">
        <v>6875</v>
      </c>
      <c r="I26" s="563">
        <v>23688</v>
      </c>
    </row>
    <row r="27" spans="1:9" ht="14.1" customHeight="1">
      <c r="F27" s="714" t="s">
        <v>1028</v>
      </c>
      <c r="G27" s="763" t="s">
        <v>720</v>
      </c>
      <c r="H27" s="571"/>
      <c r="I27" s="571"/>
    </row>
    <row r="28" spans="1:9" ht="14.1" customHeight="1">
      <c r="F28" s="764"/>
      <c r="G28" s="745" t="s">
        <v>90</v>
      </c>
      <c r="H28" s="3"/>
      <c r="I28" s="3"/>
    </row>
    <row r="33" ht="14.25" customHeight="1"/>
  </sheetData>
  <mergeCells count="2">
    <mergeCell ref="A1:I1"/>
    <mergeCell ref="A2:I2"/>
  </mergeCells>
  <phoneticPr fontId="0" type="noConversion"/>
  <printOptions horizontalCentered="1" verticalCentered="1"/>
  <pageMargins left="0.1" right="0.1" top="0.1" bottom="0.1" header="0.7" footer="0.1"/>
  <pageSetup paperSize="9" orientation="landscape" r:id="rId1"/>
  <headerFooter alignWithMargins="0"/>
</worksheet>
</file>

<file path=xl/worksheets/sheet85.xml><?xml version="1.0" encoding="utf-8"?>
<worksheet xmlns="http://schemas.openxmlformats.org/spreadsheetml/2006/main" xmlns:r="http://schemas.openxmlformats.org/officeDocument/2006/relationships">
  <dimension ref="A1:K33"/>
  <sheetViews>
    <sheetView workbookViewId="0">
      <selection activeCell="L7" sqref="L7"/>
    </sheetView>
  </sheetViews>
  <sheetFormatPr defaultRowHeight="12.75"/>
  <cols>
    <col min="1" max="1" width="1.85546875" style="171" customWidth="1"/>
    <col min="2" max="2" width="7.140625" style="171" customWidth="1"/>
    <col min="3" max="3" width="13.42578125" style="171" bestFit="1" customWidth="1"/>
    <col min="4" max="5" width="10.28515625" style="171" customWidth="1"/>
    <col min="6" max="6" width="8.5703125" style="171" customWidth="1"/>
    <col min="7" max="7" width="10.28515625" style="171" customWidth="1"/>
    <col min="8" max="8" width="9.140625" style="171"/>
    <col min="9" max="9" width="12.85546875" style="171" customWidth="1"/>
    <col min="10" max="11" width="0" style="171" hidden="1" customWidth="1"/>
    <col min="12" max="16384" width="9.140625" style="171"/>
  </cols>
  <sheetData>
    <row r="1" spans="1:11" ht="17.25" customHeight="1">
      <c r="A1" s="1181" t="s">
        <v>1547</v>
      </c>
      <c r="B1" s="1181"/>
      <c r="C1" s="1181"/>
      <c r="D1" s="1181"/>
      <c r="E1" s="1181"/>
      <c r="F1" s="1181"/>
      <c r="G1" s="1181"/>
      <c r="H1" s="1181"/>
      <c r="I1" s="1181"/>
    </row>
    <row r="2" spans="1:11" ht="38.25" customHeight="1">
      <c r="A2" s="1362" t="s">
        <v>1678</v>
      </c>
      <c r="B2" s="1362"/>
      <c r="C2" s="1362"/>
      <c r="D2" s="1362"/>
      <c r="E2" s="1362"/>
      <c r="F2" s="1362"/>
      <c r="G2" s="1362"/>
      <c r="H2" s="1362"/>
      <c r="I2" s="1362"/>
    </row>
    <row r="3" spans="1:11" ht="15.75" customHeight="1">
      <c r="B3" s="1194" t="s">
        <v>494</v>
      </c>
      <c r="C3" s="1194" t="s">
        <v>1239</v>
      </c>
      <c r="D3" s="1193" t="s">
        <v>1238</v>
      </c>
      <c r="E3" s="1191"/>
      <c r="F3" s="1191"/>
      <c r="G3" s="1191"/>
      <c r="H3" s="1192"/>
      <c r="I3" s="1196" t="s">
        <v>1510</v>
      </c>
    </row>
    <row r="4" spans="1:11" ht="15.75" customHeight="1">
      <c r="B4" s="1197"/>
      <c r="C4" s="1197"/>
      <c r="D4" s="232" t="s">
        <v>393</v>
      </c>
      <c r="E4" s="212" t="s">
        <v>1509</v>
      </c>
      <c r="F4" s="232" t="s">
        <v>1122</v>
      </c>
      <c r="G4" s="969" t="s">
        <v>1404</v>
      </c>
      <c r="H4" s="977" t="s">
        <v>1677</v>
      </c>
      <c r="I4" s="1197"/>
      <c r="J4" s="610" t="s">
        <v>1622</v>
      </c>
      <c r="K4" s="610" t="s">
        <v>1623</v>
      </c>
    </row>
    <row r="5" spans="1:11" ht="16.5" customHeight="1">
      <c r="B5" s="221" t="s">
        <v>418</v>
      </c>
      <c r="C5" s="213" t="s">
        <v>419</v>
      </c>
      <c r="D5" s="222" t="s">
        <v>420</v>
      </c>
      <c r="E5" s="213" t="s">
        <v>421</v>
      </c>
      <c r="F5" s="222" t="s">
        <v>422</v>
      </c>
      <c r="G5" s="213" t="s">
        <v>423</v>
      </c>
      <c r="H5" s="214" t="s">
        <v>424</v>
      </c>
      <c r="I5" s="214" t="s">
        <v>440</v>
      </c>
      <c r="K5" s="841"/>
    </row>
    <row r="6" spans="1:11" ht="25.5" customHeight="1">
      <c r="B6" s="168" t="s">
        <v>942</v>
      </c>
      <c r="C6" s="301" t="s">
        <v>596</v>
      </c>
      <c r="D6" s="842">
        <v>28545</v>
      </c>
      <c r="E6" s="831">
        <v>1350</v>
      </c>
      <c r="F6" s="842">
        <v>20624</v>
      </c>
      <c r="G6" s="820">
        <v>3015</v>
      </c>
      <c r="H6" s="831">
        <v>616</v>
      </c>
      <c r="I6" s="831">
        <v>620534</v>
      </c>
      <c r="J6" s="843">
        <v>103643</v>
      </c>
      <c r="K6" s="843">
        <v>21726</v>
      </c>
    </row>
    <row r="7" spans="1:11" ht="25.5" customHeight="1">
      <c r="B7" s="168" t="s">
        <v>943</v>
      </c>
      <c r="C7" s="301" t="s">
        <v>595</v>
      </c>
      <c r="D7" s="842">
        <v>42542</v>
      </c>
      <c r="E7" s="831">
        <v>3757</v>
      </c>
      <c r="F7" s="842">
        <v>24009</v>
      </c>
      <c r="G7" s="831">
        <v>569</v>
      </c>
      <c r="H7" s="831">
        <v>1641</v>
      </c>
      <c r="I7" s="831">
        <v>69837</v>
      </c>
      <c r="J7" s="843">
        <v>135786</v>
      </c>
      <c r="K7" s="843">
        <v>27664</v>
      </c>
    </row>
    <row r="8" spans="1:11" ht="25.5" customHeight="1">
      <c r="B8" s="168" t="s">
        <v>944</v>
      </c>
      <c r="C8" s="301" t="s">
        <v>597</v>
      </c>
      <c r="D8" s="842">
        <v>72300</v>
      </c>
      <c r="E8" s="831">
        <v>3679</v>
      </c>
      <c r="F8" s="842">
        <v>40043</v>
      </c>
      <c r="G8" s="831">
        <v>13355</v>
      </c>
      <c r="H8" s="831">
        <v>4847</v>
      </c>
      <c r="I8" s="831">
        <v>381170</v>
      </c>
      <c r="J8" s="843">
        <v>84050</v>
      </c>
      <c r="K8" s="843">
        <v>39884</v>
      </c>
    </row>
    <row r="9" spans="1:11" ht="25.5" customHeight="1">
      <c r="B9" s="168" t="s">
        <v>945</v>
      </c>
      <c r="C9" s="301" t="s">
        <v>598</v>
      </c>
      <c r="D9" s="842">
        <v>47597</v>
      </c>
      <c r="E9" s="831">
        <v>3378</v>
      </c>
      <c r="F9" s="842">
        <v>21077</v>
      </c>
      <c r="G9" s="831">
        <v>4572</v>
      </c>
      <c r="H9" s="831">
        <v>1572</v>
      </c>
      <c r="I9" s="831">
        <v>31833</v>
      </c>
      <c r="J9" s="843">
        <v>32707</v>
      </c>
      <c r="K9" s="843">
        <v>9979</v>
      </c>
    </row>
    <row r="10" spans="1:11" ht="25.5" customHeight="1">
      <c r="B10" s="168" t="s">
        <v>946</v>
      </c>
      <c r="C10" s="301" t="s">
        <v>599</v>
      </c>
      <c r="D10" s="842">
        <v>27191</v>
      </c>
      <c r="E10" s="831">
        <v>1401</v>
      </c>
      <c r="F10" s="842">
        <v>11042</v>
      </c>
      <c r="G10" s="831">
        <v>1784</v>
      </c>
      <c r="H10" s="831">
        <v>365</v>
      </c>
      <c r="I10" s="831">
        <v>73509</v>
      </c>
      <c r="J10" s="843">
        <v>17218</v>
      </c>
      <c r="K10" s="843">
        <v>5903</v>
      </c>
    </row>
    <row r="11" spans="1:11" ht="25.5" customHeight="1">
      <c r="B11" s="168" t="s">
        <v>947</v>
      </c>
      <c r="C11" s="301" t="s">
        <v>1243</v>
      </c>
      <c r="D11" s="842">
        <v>69420</v>
      </c>
      <c r="E11" s="831">
        <v>4245</v>
      </c>
      <c r="F11" s="842">
        <v>28337</v>
      </c>
      <c r="G11" s="831">
        <v>6552</v>
      </c>
      <c r="H11" s="831">
        <v>5152</v>
      </c>
      <c r="I11" s="831">
        <v>227975</v>
      </c>
      <c r="J11" s="843">
        <v>73088</v>
      </c>
      <c r="K11" s="843">
        <v>25972</v>
      </c>
    </row>
    <row r="12" spans="1:11" ht="25.5" customHeight="1">
      <c r="B12" s="168" t="s">
        <v>948</v>
      </c>
      <c r="C12" s="301" t="s">
        <v>1390</v>
      </c>
      <c r="D12" s="842">
        <v>65503</v>
      </c>
      <c r="E12" s="831">
        <v>2851</v>
      </c>
      <c r="F12" s="842">
        <v>41765</v>
      </c>
      <c r="G12" s="831">
        <v>2275</v>
      </c>
      <c r="H12" s="831">
        <v>2422</v>
      </c>
      <c r="I12" s="831">
        <v>122461</v>
      </c>
      <c r="J12" s="843">
        <v>64303</v>
      </c>
      <c r="K12" s="843">
        <v>29142</v>
      </c>
    </row>
    <row r="13" spans="1:11" ht="25.5" customHeight="1">
      <c r="B13" s="168" t="s">
        <v>949</v>
      </c>
      <c r="C13" s="301" t="s">
        <v>602</v>
      </c>
      <c r="D13" s="842">
        <v>87372</v>
      </c>
      <c r="E13" s="831">
        <v>6301</v>
      </c>
      <c r="F13" s="842">
        <v>46880</v>
      </c>
      <c r="G13" s="831">
        <v>2498</v>
      </c>
      <c r="H13" s="831">
        <v>3665</v>
      </c>
      <c r="I13" s="831">
        <v>264814</v>
      </c>
      <c r="J13" s="843">
        <v>607517</v>
      </c>
      <c r="K13" s="843">
        <v>33933</v>
      </c>
    </row>
    <row r="14" spans="1:11" ht="25.5" customHeight="1">
      <c r="B14" s="168" t="s">
        <v>1344</v>
      </c>
      <c r="C14" s="301" t="s">
        <v>62</v>
      </c>
      <c r="D14" s="842">
        <v>70626</v>
      </c>
      <c r="E14" s="831">
        <v>1303</v>
      </c>
      <c r="F14" s="842">
        <v>31423</v>
      </c>
      <c r="G14" s="831">
        <v>9373</v>
      </c>
      <c r="H14" s="831">
        <v>2001</v>
      </c>
      <c r="I14" s="831">
        <v>130281</v>
      </c>
      <c r="J14" s="843">
        <v>47346</v>
      </c>
      <c r="K14" s="843">
        <v>30688</v>
      </c>
    </row>
    <row r="15" spans="1:11" ht="25.5" customHeight="1">
      <c r="B15" s="168" t="s">
        <v>1345</v>
      </c>
      <c r="C15" s="301" t="s">
        <v>604</v>
      </c>
      <c r="D15" s="842">
        <v>36909</v>
      </c>
      <c r="E15" s="831">
        <v>1179</v>
      </c>
      <c r="F15" s="842">
        <v>20708</v>
      </c>
      <c r="G15" s="831">
        <v>7193</v>
      </c>
      <c r="H15" s="831">
        <v>1059</v>
      </c>
      <c r="I15" s="831">
        <v>57013</v>
      </c>
      <c r="J15" s="843">
        <v>110505</v>
      </c>
      <c r="K15" s="843">
        <v>11777</v>
      </c>
    </row>
    <row r="16" spans="1:11" ht="25.5" customHeight="1">
      <c r="B16" s="168" t="s">
        <v>1346</v>
      </c>
      <c r="C16" s="301" t="s">
        <v>368</v>
      </c>
      <c r="D16" s="842">
        <v>27955</v>
      </c>
      <c r="E16" s="831">
        <v>918</v>
      </c>
      <c r="F16" s="842">
        <v>20056</v>
      </c>
      <c r="G16" s="831">
        <v>4962</v>
      </c>
      <c r="H16" s="831">
        <v>1132</v>
      </c>
      <c r="I16" s="831">
        <v>48133</v>
      </c>
      <c r="J16" s="843">
        <v>29309</v>
      </c>
      <c r="K16" s="843">
        <v>8585</v>
      </c>
    </row>
    <row r="17" spans="2:11" ht="25.5" customHeight="1">
      <c r="B17" s="168" t="s">
        <v>50</v>
      </c>
      <c r="C17" s="301" t="s">
        <v>606</v>
      </c>
      <c r="D17" s="842">
        <v>45134</v>
      </c>
      <c r="E17" s="831">
        <v>1947</v>
      </c>
      <c r="F17" s="842">
        <v>48061</v>
      </c>
      <c r="G17" s="831">
        <v>8751</v>
      </c>
      <c r="H17" s="831">
        <v>2439</v>
      </c>
      <c r="I17" s="831">
        <v>181657</v>
      </c>
      <c r="J17" s="843">
        <v>146012</v>
      </c>
      <c r="K17" s="843">
        <v>11649</v>
      </c>
    </row>
    <row r="18" spans="2:11" ht="25.5" customHeight="1">
      <c r="B18" s="168" t="s">
        <v>51</v>
      </c>
      <c r="C18" s="301" t="s">
        <v>347</v>
      </c>
      <c r="D18" s="842">
        <v>75017</v>
      </c>
      <c r="E18" s="831">
        <v>4121</v>
      </c>
      <c r="F18" s="842">
        <v>38116</v>
      </c>
      <c r="G18" s="831">
        <v>3191</v>
      </c>
      <c r="H18" s="831">
        <v>2996</v>
      </c>
      <c r="I18" s="831">
        <v>351499</v>
      </c>
      <c r="J18" s="843">
        <v>90454</v>
      </c>
      <c r="K18" s="843">
        <v>13657</v>
      </c>
    </row>
    <row r="19" spans="2:11" ht="25.5" customHeight="1">
      <c r="B19" s="168" t="s">
        <v>52</v>
      </c>
      <c r="C19" s="301" t="s">
        <v>369</v>
      </c>
      <c r="D19" s="842">
        <v>62501</v>
      </c>
      <c r="E19" s="831">
        <v>3256</v>
      </c>
      <c r="F19" s="842">
        <v>30303</v>
      </c>
      <c r="G19" s="831">
        <v>2096</v>
      </c>
      <c r="H19" s="831">
        <v>1889</v>
      </c>
      <c r="I19" s="831">
        <v>167666</v>
      </c>
      <c r="J19" s="843">
        <v>64670</v>
      </c>
      <c r="K19" s="843">
        <v>24278</v>
      </c>
    </row>
    <row r="20" spans="2:11" ht="25.5" customHeight="1">
      <c r="B20" s="168" t="s">
        <v>53</v>
      </c>
      <c r="C20" s="301" t="s">
        <v>349</v>
      </c>
      <c r="D20" s="842">
        <v>71107</v>
      </c>
      <c r="E20" s="831">
        <v>2462</v>
      </c>
      <c r="F20" s="842">
        <v>37068</v>
      </c>
      <c r="G20" s="831">
        <v>5528</v>
      </c>
      <c r="H20" s="831">
        <v>4570</v>
      </c>
      <c r="I20" s="831">
        <v>84149</v>
      </c>
      <c r="J20" s="843">
        <v>192464</v>
      </c>
      <c r="K20" s="843">
        <v>38940</v>
      </c>
    </row>
    <row r="21" spans="2:11" ht="25.5" customHeight="1">
      <c r="B21" s="168" t="s">
        <v>54</v>
      </c>
      <c r="C21" s="301" t="s">
        <v>370</v>
      </c>
      <c r="D21" s="842">
        <v>44160</v>
      </c>
      <c r="E21" s="831">
        <v>2277</v>
      </c>
      <c r="F21" s="842">
        <v>25109</v>
      </c>
      <c r="G21" s="831">
        <v>3369</v>
      </c>
      <c r="H21" s="831">
        <v>1146</v>
      </c>
      <c r="I21" s="831">
        <v>68562</v>
      </c>
      <c r="J21" s="843">
        <v>97222</v>
      </c>
      <c r="K21" s="843">
        <v>16118</v>
      </c>
    </row>
    <row r="22" spans="2:11" ht="25.5" customHeight="1">
      <c r="B22" s="168" t="s">
        <v>55</v>
      </c>
      <c r="C22" s="301" t="s">
        <v>350</v>
      </c>
      <c r="D22" s="842">
        <v>69614</v>
      </c>
      <c r="E22" s="831">
        <v>3490</v>
      </c>
      <c r="F22" s="842">
        <v>36054</v>
      </c>
      <c r="G22" s="831">
        <v>49</v>
      </c>
      <c r="H22" s="831">
        <v>2232</v>
      </c>
      <c r="I22" s="831">
        <v>116401</v>
      </c>
      <c r="J22" s="843">
        <v>94779</v>
      </c>
      <c r="K22" s="843">
        <v>19002</v>
      </c>
    </row>
    <row r="23" spans="2:11" ht="25.5" customHeight="1">
      <c r="B23" s="168" t="s">
        <v>56</v>
      </c>
      <c r="C23" s="301" t="s">
        <v>351</v>
      </c>
      <c r="D23" s="842">
        <v>61570</v>
      </c>
      <c r="E23" s="831">
        <v>2072</v>
      </c>
      <c r="F23" s="842">
        <v>34046</v>
      </c>
      <c r="G23" s="83" t="s">
        <v>1127</v>
      </c>
      <c r="H23" s="83">
        <v>791</v>
      </c>
      <c r="I23" s="831">
        <v>77327</v>
      </c>
      <c r="J23" s="843">
        <v>40314</v>
      </c>
      <c r="K23" s="843">
        <v>39083</v>
      </c>
    </row>
    <row r="24" spans="2:11" ht="25.5" customHeight="1">
      <c r="B24" s="168" t="s">
        <v>57</v>
      </c>
      <c r="C24" s="301" t="s">
        <v>352</v>
      </c>
      <c r="D24" s="842">
        <v>81300</v>
      </c>
      <c r="E24" s="831">
        <v>2565</v>
      </c>
      <c r="F24" s="842">
        <v>41945</v>
      </c>
      <c r="G24" s="968" t="s">
        <v>1127</v>
      </c>
      <c r="H24" s="83">
        <v>1323</v>
      </c>
      <c r="I24" s="831">
        <v>114996</v>
      </c>
      <c r="J24" s="843">
        <v>53088</v>
      </c>
      <c r="K24" s="843">
        <v>59553</v>
      </c>
    </row>
    <row r="25" spans="2:11" ht="25.5" customHeight="1">
      <c r="B25" s="168" t="s">
        <v>58</v>
      </c>
      <c r="C25" s="301" t="s">
        <v>353</v>
      </c>
      <c r="D25" s="842">
        <v>71141</v>
      </c>
      <c r="E25" s="831">
        <v>5635</v>
      </c>
      <c r="F25" s="842">
        <v>47669</v>
      </c>
      <c r="G25" s="831">
        <v>116</v>
      </c>
      <c r="H25" s="831">
        <v>2229</v>
      </c>
      <c r="I25" s="831">
        <v>153287</v>
      </c>
      <c r="J25" s="843">
        <v>609898</v>
      </c>
      <c r="K25" s="843">
        <v>35255</v>
      </c>
    </row>
    <row r="26" spans="2:11" ht="25.5" customHeight="1">
      <c r="B26" s="168" t="s">
        <v>59</v>
      </c>
      <c r="C26" s="301" t="s">
        <v>354</v>
      </c>
      <c r="D26" s="842">
        <v>81301</v>
      </c>
      <c r="E26" s="831">
        <v>6082</v>
      </c>
      <c r="F26" s="842">
        <v>53723</v>
      </c>
      <c r="G26" s="831">
        <v>234</v>
      </c>
      <c r="H26" s="831">
        <v>4691</v>
      </c>
      <c r="I26" s="831">
        <v>541619</v>
      </c>
      <c r="J26" s="843">
        <v>259695</v>
      </c>
      <c r="K26" s="843">
        <v>52855</v>
      </c>
    </row>
    <row r="27" spans="2:11" ht="25.5" customHeight="1">
      <c r="B27" s="462" t="s">
        <v>60</v>
      </c>
      <c r="C27" s="491" t="s">
        <v>1126</v>
      </c>
      <c r="D27" s="844">
        <v>89551</v>
      </c>
      <c r="E27" s="845">
        <v>2559</v>
      </c>
      <c r="F27" s="844">
        <v>44854</v>
      </c>
      <c r="G27" s="664" t="s">
        <v>1127</v>
      </c>
      <c r="H27" s="845">
        <v>1961</v>
      </c>
      <c r="I27" s="845">
        <v>135855</v>
      </c>
      <c r="J27" s="843">
        <v>159794</v>
      </c>
      <c r="K27" s="843">
        <v>161569</v>
      </c>
    </row>
    <row r="28" spans="2:11" ht="12" customHeight="1">
      <c r="B28" s="728" t="s">
        <v>1710</v>
      </c>
      <c r="C28" s="1136"/>
      <c r="D28" s="1136"/>
      <c r="E28" s="1136"/>
      <c r="F28" s="847"/>
      <c r="I28" s="715"/>
      <c r="J28" s="843"/>
    </row>
    <row r="29" spans="2:11">
      <c r="B29" s="1104"/>
      <c r="C29" s="1104"/>
      <c r="D29" s="1104"/>
      <c r="E29" s="1104"/>
    </row>
    <row r="32" spans="2:11">
      <c r="C32" s="795"/>
      <c r="D32" s="795"/>
      <c r="E32" s="795"/>
      <c r="F32" s="795"/>
      <c r="G32" s="795"/>
      <c r="H32" s="795"/>
      <c r="I32" s="795"/>
    </row>
    <row r="33" ht="14.25" customHeight="1"/>
  </sheetData>
  <mergeCells count="6">
    <mergeCell ref="A1:I1"/>
    <mergeCell ref="A2:I2"/>
    <mergeCell ref="B3:B4"/>
    <mergeCell ref="C3:C4"/>
    <mergeCell ref="I3:I4"/>
    <mergeCell ref="D3:H3"/>
  </mergeCells>
  <phoneticPr fontId="0" type="noConversion"/>
  <printOptions horizontalCentered="1"/>
  <pageMargins left="0.17" right="0.1" top="0.71" bottom="0.1" header="0.71" footer="0.1"/>
  <pageSetup paperSize="9" orientation="portrait" r:id="rId1"/>
  <headerFooter alignWithMargins="0"/>
</worksheet>
</file>

<file path=xl/worksheets/sheet86.xml><?xml version="1.0" encoding="utf-8"?>
<worksheet xmlns="http://schemas.openxmlformats.org/spreadsheetml/2006/main" xmlns:r="http://schemas.openxmlformats.org/officeDocument/2006/relationships">
  <sheetPr codeName="Sheet76"/>
  <dimension ref="A1:K32"/>
  <sheetViews>
    <sheetView workbookViewId="0">
      <selection activeCell="O15" sqref="O15"/>
    </sheetView>
  </sheetViews>
  <sheetFormatPr defaultRowHeight="12.75"/>
  <cols>
    <col min="1" max="1" width="1.85546875" style="171" customWidth="1"/>
    <col min="2" max="2" width="7.140625" style="171" customWidth="1"/>
    <col min="3" max="3" width="13.42578125" style="171" bestFit="1" customWidth="1"/>
    <col min="4" max="5" width="10.28515625" style="171" customWidth="1"/>
    <col min="6" max="6" width="8.5703125" style="171" customWidth="1"/>
    <col min="7" max="7" width="10.28515625" style="171" customWidth="1"/>
    <col min="8" max="8" width="9.140625" style="171"/>
    <col min="9" max="9" width="12.85546875" style="171" customWidth="1"/>
    <col min="10" max="11" width="0" style="171" hidden="1" customWidth="1"/>
    <col min="12" max="16384" width="9.140625" style="171"/>
  </cols>
  <sheetData>
    <row r="1" spans="1:11" ht="17.25" customHeight="1">
      <c r="A1" s="1181" t="s">
        <v>1547</v>
      </c>
      <c r="B1" s="1181"/>
      <c r="C1" s="1181"/>
      <c r="D1" s="1181"/>
      <c r="E1" s="1181"/>
      <c r="F1" s="1181"/>
      <c r="G1" s="1181"/>
      <c r="H1" s="1181"/>
      <c r="I1" s="1181"/>
    </row>
    <row r="2" spans="1:11" ht="38.25" customHeight="1">
      <c r="A2" s="1362" t="s">
        <v>1220</v>
      </c>
      <c r="B2" s="1362"/>
      <c r="C2" s="1362"/>
      <c r="D2" s="1362"/>
      <c r="E2" s="1362"/>
      <c r="F2" s="1362"/>
      <c r="G2" s="1362"/>
      <c r="H2" s="1362"/>
      <c r="I2" s="1362"/>
    </row>
    <row r="3" spans="1:11" ht="15.75" customHeight="1">
      <c r="B3" s="1194" t="s">
        <v>494</v>
      </c>
      <c r="C3" s="1194" t="s">
        <v>1239</v>
      </c>
      <c r="D3" s="1193" t="s">
        <v>1238</v>
      </c>
      <c r="E3" s="1191"/>
      <c r="F3" s="1191"/>
      <c r="G3" s="1191"/>
      <c r="H3" s="1192"/>
      <c r="I3" s="1196" t="s">
        <v>1510</v>
      </c>
    </row>
    <row r="4" spans="1:11" ht="15.75" customHeight="1">
      <c r="B4" s="1197"/>
      <c r="C4" s="1197"/>
      <c r="D4" s="232" t="s">
        <v>393</v>
      </c>
      <c r="E4" s="212" t="s">
        <v>1509</v>
      </c>
      <c r="F4" s="232" t="s">
        <v>1122</v>
      </c>
      <c r="G4" s="212" t="s">
        <v>1121</v>
      </c>
      <c r="H4" s="212" t="s">
        <v>592</v>
      </c>
      <c r="I4" s="1197"/>
      <c r="J4" s="610" t="s">
        <v>1622</v>
      </c>
      <c r="K4" s="610" t="s">
        <v>1623</v>
      </c>
    </row>
    <row r="5" spans="1:11" ht="16.5" customHeight="1">
      <c r="B5" s="221" t="s">
        <v>418</v>
      </c>
      <c r="C5" s="213" t="s">
        <v>419</v>
      </c>
      <c r="D5" s="222" t="s">
        <v>420</v>
      </c>
      <c r="E5" s="213" t="s">
        <v>421</v>
      </c>
      <c r="F5" s="222" t="s">
        <v>422</v>
      </c>
      <c r="G5" s="213" t="s">
        <v>423</v>
      </c>
      <c r="H5" s="214" t="s">
        <v>424</v>
      </c>
      <c r="I5" s="214" t="s">
        <v>440</v>
      </c>
      <c r="K5" s="841"/>
    </row>
    <row r="6" spans="1:11" ht="25.5" customHeight="1">
      <c r="B6" s="168" t="s">
        <v>942</v>
      </c>
      <c r="C6" s="301" t="s">
        <v>596</v>
      </c>
      <c r="D6" s="842">
        <v>31271</v>
      </c>
      <c r="E6" s="831">
        <v>2781</v>
      </c>
      <c r="F6" s="842">
        <v>21904</v>
      </c>
      <c r="G6" s="820">
        <v>3319</v>
      </c>
      <c r="H6" s="831">
        <v>314</v>
      </c>
      <c r="I6" s="831">
        <v>125371</v>
      </c>
      <c r="J6" s="843">
        <v>103643</v>
      </c>
      <c r="K6" s="843">
        <v>21726</v>
      </c>
    </row>
    <row r="7" spans="1:11" ht="25.5" customHeight="1">
      <c r="B7" s="168" t="s">
        <v>943</v>
      </c>
      <c r="C7" s="301" t="s">
        <v>595</v>
      </c>
      <c r="D7" s="842">
        <v>53500</v>
      </c>
      <c r="E7" s="831">
        <v>5843</v>
      </c>
      <c r="F7" s="842">
        <v>27958</v>
      </c>
      <c r="G7" s="831">
        <v>1622</v>
      </c>
      <c r="H7" s="831">
        <v>1303</v>
      </c>
      <c r="I7" s="831">
        <f t="shared" ref="I7:I27" si="0">SUM(J7,K7)</f>
        <v>163450</v>
      </c>
      <c r="J7" s="843">
        <v>135786</v>
      </c>
      <c r="K7" s="843">
        <v>27664</v>
      </c>
    </row>
    <row r="8" spans="1:11" ht="25.5" customHeight="1">
      <c r="B8" s="168" t="s">
        <v>944</v>
      </c>
      <c r="C8" s="301" t="s">
        <v>597</v>
      </c>
      <c r="D8" s="842">
        <v>65162</v>
      </c>
      <c r="E8" s="831">
        <v>7641</v>
      </c>
      <c r="F8" s="842">
        <v>42183</v>
      </c>
      <c r="G8" s="831">
        <v>19156</v>
      </c>
      <c r="H8" s="831">
        <v>6409</v>
      </c>
      <c r="I8" s="831">
        <f t="shared" si="0"/>
        <v>123934</v>
      </c>
      <c r="J8" s="843">
        <v>84050</v>
      </c>
      <c r="K8" s="843">
        <v>39884</v>
      </c>
    </row>
    <row r="9" spans="1:11" ht="25.5" customHeight="1">
      <c r="B9" s="168" t="s">
        <v>945</v>
      </c>
      <c r="C9" s="301" t="s">
        <v>598</v>
      </c>
      <c r="D9" s="842">
        <v>60784</v>
      </c>
      <c r="E9" s="831">
        <v>6612</v>
      </c>
      <c r="F9" s="842">
        <v>29658</v>
      </c>
      <c r="G9" s="831">
        <v>7093</v>
      </c>
      <c r="H9" s="831">
        <v>2884</v>
      </c>
      <c r="I9" s="831">
        <f t="shared" si="0"/>
        <v>42686</v>
      </c>
      <c r="J9" s="843">
        <v>32707</v>
      </c>
      <c r="K9" s="843">
        <v>9979</v>
      </c>
    </row>
    <row r="10" spans="1:11" ht="25.5" customHeight="1">
      <c r="B10" s="168" t="s">
        <v>946</v>
      </c>
      <c r="C10" s="301" t="s">
        <v>599</v>
      </c>
      <c r="D10" s="842">
        <v>29693</v>
      </c>
      <c r="E10" s="831">
        <v>3125</v>
      </c>
      <c r="F10" s="842">
        <v>14733</v>
      </c>
      <c r="G10" s="831">
        <v>1641</v>
      </c>
      <c r="H10" s="831">
        <v>162</v>
      </c>
      <c r="I10" s="831">
        <f t="shared" si="0"/>
        <v>23121</v>
      </c>
      <c r="J10" s="843">
        <v>17218</v>
      </c>
      <c r="K10" s="843">
        <v>5903</v>
      </c>
    </row>
    <row r="11" spans="1:11" ht="25.5" customHeight="1">
      <c r="B11" s="168" t="s">
        <v>947</v>
      </c>
      <c r="C11" s="301" t="s">
        <v>1243</v>
      </c>
      <c r="D11" s="842">
        <v>90881</v>
      </c>
      <c r="E11" s="831">
        <v>5981</v>
      </c>
      <c r="F11" s="842">
        <v>35540</v>
      </c>
      <c r="G11" s="831">
        <v>9726</v>
      </c>
      <c r="H11" s="831">
        <v>3169</v>
      </c>
      <c r="I11" s="831">
        <f t="shared" si="0"/>
        <v>99060</v>
      </c>
      <c r="J11" s="843">
        <v>73088</v>
      </c>
      <c r="K11" s="843">
        <v>25972</v>
      </c>
    </row>
    <row r="12" spans="1:11" ht="25.5" customHeight="1">
      <c r="B12" s="168" t="s">
        <v>948</v>
      </c>
      <c r="C12" s="301" t="s">
        <v>1390</v>
      </c>
      <c r="D12" s="842">
        <v>80863</v>
      </c>
      <c r="E12" s="831">
        <v>4869</v>
      </c>
      <c r="F12" s="842">
        <v>42599</v>
      </c>
      <c r="G12" s="831">
        <v>1497</v>
      </c>
      <c r="H12" s="831">
        <v>1557</v>
      </c>
      <c r="I12" s="831">
        <f t="shared" si="0"/>
        <v>93445</v>
      </c>
      <c r="J12" s="843">
        <v>64303</v>
      </c>
      <c r="K12" s="843">
        <v>29142</v>
      </c>
    </row>
    <row r="13" spans="1:11" ht="25.5" customHeight="1">
      <c r="B13" s="168" t="s">
        <v>949</v>
      </c>
      <c r="C13" s="301" t="s">
        <v>602</v>
      </c>
      <c r="D13" s="842">
        <v>113125</v>
      </c>
      <c r="E13" s="831">
        <v>8625</v>
      </c>
      <c r="F13" s="842">
        <v>53286</v>
      </c>
      <c r="G13" s="831">
        <v>6240</v>
      </c>
      <c r="H13" s="831">
        <v>4008</v>
      </c>
      <c r="I13" s="831">
        <f t="shared" si="0"/>
        <v>641450</v>
      </c>
      <c r="J13" s="843">
        <v>607517</v>
      </c>
      <c r="K13" s="843">
        <v>33933</v>
      </c>
    </row>
    <row r="14" spans="1:11" ht="25.5" customHeight="1">
      <c r="B14" s="168" t="s">
        <v>1344</v>
      </c>
      <c r="C14" s="301" t="s">
        <v>62</v>
      </c>
      <c r="D14" s="842">
        <v>56150</v>
      </c>
      <c r="E14" s="831">
        <v>2613</v>
      </c>
      <c r="F14" s="842">
        <v>26163</v>
      </c>
      <c r="G14" s="831">
        <v>8097</v>
      </c>
      <c r="H14" s="831">
        <v>1254</v>
      </c>
      <c r="I14" s="831">
        <f t="shared" si="0"/>
        <v>78034</v>
      </c>
      <c r="J14" s="843">
        <v>47346</v>
      </c>
      <c r="K14" s="843">
        <v>30688</v>
      </c>
    </row>
    <row r="15" spans="1:11" ht="25.5" customHeight="1">
      <c r="B15" s="168" t="s">
        <v>1345</v>
      </c>
      <c r="C15" s="301" t="s">
        <v>604</v>
      </c>
      <c r="D15" s="842">
        <v>50247</v>
      </c>
      <c r="E15" s="831">
        <v>1673</v>
      </c>
      <c r="F15" s="842">
        <v>25097</v>
      </c>
      <c r="G15" s="831">
        <v>7274</v>
      </c>
      <c r="H15" s="831">
        <v>1137</v>
      </c>
      <c r="I15" s="831">
        <f t="shared" si="0"/>
        <v>122282</v>
      </c>
      <c r="J15" s="843">
        <v>110505</v>
      </c>
      <c r="K15" s="843">
        <v>11777</v>
      </c>
    </row>
    <row r="16" spans="1:11" ht="25.5" customHeight="1">
      <c r="B16" s="168" t="s">
        <v>1346</v>
      </c>
      <c r="C16" s="301" t="s">
        <v>368</v>
      </c>
      <c r="D16" s="842">
        <v>34378</v>
      </c>
      <c r="E16" s="831">
        <v>1427</v>
      </c>
      <c r="F16" s="842">
        <v>19614</v>
      </c>
      <c r="G16" s="831">
        <v>6618</v>
      </c>
      <c r="H16" s="831">
        <v>1220</v>
      </c>
      <c r="I16" s="831">
        <f t="shared" si="0"/>
        <v>37894</v>
      </c>
      <c r="J16" s="843">
        <v>29309</v>
      </c>
      <c r="K16" s="843">
        <v>8585</v>
      </c>
    </row>
    <row r="17" spans="2:11" ht="25.5" customHeight="1">
      <c r="B17" s="168" t="s">
        <v>50</v>
      </c>
      <c r="C17" s="301" t="s">
        <v>606</v>
      </c>
      <c r="D17" s="842">
        <v>64936</v>
      </c>
      <c r="E17" s="831">
        <v>3170</v>
      </c>
      <c r="F17" s="842">
        <v>64338</v>
      </c>
      <c r="G17" s="831">
        <v>7922</v>
      </c>
      <c r="H17" s="831">
        <v>1442</v>
      </c>
      <c r="I17" s="831">
        <f t="shared" si="0"/>
        <v>157661</v>
      </c>
      <c r="J17" s="843">
        <v>146012</v>
      </c>
      <c r="K17" s="843">
        <v>11649</v>
      </c>
    </row>
    <row r="18" spans="2:11" ht="25.5" customHeight="1">
      <c r="B18" s="168" t="s">
        <v>51</v>
      </c>
      <c r="C18" s="301" t="s">
        <v>347</v>
      </c>
      <c r="D18" s="842">
        <v>79693</v>
      </c>
      <c r="E18" s="831">
        <v>3380</v>
      </c>
      <c r="F18" s="842">
        <v>37966</v>
      </c>
      <c r="G18" s="831">
        <v>3961</v>
      </c>
      <c r="H18" s="831">
        <v>2565</v>
      </c>
      <c r="I18" s="831">
        <f t="shared" si="0"/>
        <v>104111</v>
      </c>
      <c r="J18" s="843">
        <v>90454</v>
      </c>
      <c r="K18" s="843">
        <v>13657</v>
      </c>
    </row>
    <row r="19" spans="2:11" ht="25.5" customHeight="1">
      <c r="B19" s="168" t="s">
        <v>52</v>
      </c>
      <c r="C19" s="301" t="s">
        <v>369</v>
      </c>
      <c r="D19" s="842">
        <v>68516</v>
      </c>
      <c r="E19" s="831">
        <v>2250</v>
      </c>
      <c r="F19" s="842">
        <v>38700</v>
      </c>
      <c r="G19" s="831">
        <v>2244</v>
      </c>
      <c r="H19" s="831">
        <v>1770</v>
      </c>
      <c r="I19" s="831">
        <f t="shared" si="0"/>
        <v>88948</v>
      </c>
      <c r="J19" s="843">
        <v>64670</v>
      </c>
      <c r="K19" s="843">
        <v>24278</v>
      </c>
    </row>
    <row r="20" spans="2:11" ht="25.5" customHeight="1">
      <c r="B20" s="168" t="s">
        <v>53</v>
      </c>
      <c r="C20" s="301" t="s">
        <v>349</v>
      </c>
      <c r="D20" s="842">
        <v>80998</v>
      </c>
      <c r="E20" s="831">
        <v>5181</v>
      </c>
      <c r="F20" s="842">
        <v>48291</v>
      </c>
      <c r="G20" s="831">
        <v>8111</v>
      </c>
      <c r="H20" s="831">
        <v>5111</v>
      </c>
      <c r="I20" s="831">
        <f t="shared" si="0"/>
        <v>231404</v>
      </c>
      <c r="J20" s="843">
        <v>192464</v>
      </c>
      <c r="K20" s="843">
        <v>38940</v>
      </c>
    </row>
    <row r="21" spans="2:11" ht="25.5" customHeight="1">
      <c r="B21" s="168" t="s">
        <v>54</v>
      </c>
      <c r="C21" s="301" t="s">
        <v>370</v>
      </c>
      <c r="D21" s="842">
        <v>64222</v>
      </c>
      <c r="E21" s="831">
        <v>3379</v>
      </c>
      <c r="F21" s="842">
        <v>29980</v>
      </c>
      <c r="G21" s="831">
        <v>2913</v>
      </c>
      <c r="H21" s="831">
        <v>1513</v>
      </c>
      <c r="I21" s="831">
        <f t="shared" si="0"/>
        <v>113340</v>
      </c>
      <c r="J21" s="843">
        <v>97222</v>
      </c>
      <c r="K21" s="843">
        <v>16118</v>
      </c>
    </row>
    <row r="22" spans="2:11" ht="25.5" customHeight="1">
      <c r="B22" s="168" t="s">
        <v>55</v>
      </c>
      <c r="C22" s="301" t="s">
        <v>350</v>
      </c>
      <c r="D22" s="842">
        <v>73620</v>
      </c>
      <c r="E22" s="831">
        <v>5671</v>
      </c>
      <c r="F22" s="842">
        <v>42605</v>
      </c>
      <c r="G22" s="831">
        <v>51</v>
      </c>
      <c r="H22" s="831">
        <v>2086</v>
      </c>
      <c r="I22" s="831">
        <f t="shared" si="0"/>
        <v>113781</v>
      </c>
      <c r="J22" s="843">
        <v>94779</v>
      </c>
      <c r="K22" s="843">
        <v>19002</v>
      </c>
    </row>
    <row r="23" spans="2:11" ht="25.5" customHeight="1">
      <c r="B23" s="168" t="s">
        <v>56</v>
      </c>
      <c r="C23" s="301" t="s">
        <v>351</v>
      </c>
      <c r="D23" s="842">
        <v>76813</v>
      </c>
      <c r="E23" s="831">
        <v>1859</v>
      </c>
      <c r="F23" s="842">
        <v>43922</v>
      </c>
      <c r="G23" s="83" t="s">
        <v>1127</v>
      </c>
      <c r="H23" s="83">
        <v>573</v>
      </c>
      <c r="I23" s="831">
        <f t="shared" si="0"/>
        <v>79397</v>
      </c>
      <c r="J23" s="843">
        <v>40314</v>
      </c>
      <c r="K23" s="843">
        <v>39083</v>
      </c>
    </row>
    <row r="24" spans="2:11" ht="25.5" customHeight="1">
      <c r="B24" s="168" t="s">
        <v>57</v>
      </c>
      <c r="C24" s="301" t="s">
        <v>352</v>
      </c>
      <c r="D24" s="842">
        <v>95208</v>
      </c>
      <c r="E24" s="831">
        <v>3073</v>
      </c>
      <c r="F24" s="842">
        <v>52038</v>
      </c>
      <c r="G24" s="83">
        <v>4</v>
      </c>
      <c r="H24" s="83">
        <v>2016</v>
      </c>
      <c r="I24" s="831">
        <f t="shared" si="0"/>
        <v>112641</v>
      </c>
      <c r="J24" s="843">
        <v>53088</v>
      </c>
      <c r="K24" s="843">
        <v>59553</v>
      </c>
    </row>
    <row r="25" spans="2:11" ht="25.5" customHeight="1">
      <c r="B25" s="168" t="s">
        <v>58</v>
      </c>
      <c r="C25" s="301" t="s">
        <v>353</v>
      </c>
      <c r="D25" s="842">
        <v>86520</v>
      </c>
      <c r="E25" s="831">
        <v>9781</v>
      </c>
      <c r="F25" s="842">
        <v>60767</v>
      </c>
      <c r="G25" s="831">
        <v>260</v>
      </c>
      <c r="H25" s="831">
        <v>1936</v>
      </c>
      <c r="I25" s="831">
        <f t="shared" si="0"/>
        <v>645153</v>
      </c>
      <c r="J25" s="843">
        <v>609898</v>
      </c>
      <c r="K25" s="843">
        <v>35255</v>
      </c>
    </row>
    <row r="26" spans="2:11" ht="25.5" customHeight="1">
      <c r="B26" s="168" t="s">
        <v>59</v>
      </c>
      <c r="C26" s="301" t="s">
        <v>354</v>
      </c>
      <c r="D26" s="842">
        <v>85666</v>
      </c>
      <c r="E26" s="831">
        <v>6766</v>
      </c>
      <c r="F26" s="842">
        <v>54425</v>
      </c>
      <c r="G26" s="831">
        <v>528</v>
      </c>
      <c r="H26" s="831">
        <v>2902</v>
      </c>
      <c r="I26" s="831">
        <f t="shared" si="0"/>
        <v>312550</v>
      </c>
      <c r="J26" s="843">
        <v>259695</v>
      </c>
      <c r="K26" s="843">
        <v>52855</v>
      </c>
    </row>
    <row r="27" spans="2:11" ht="25.5" customHeight="1">
      <c r="B27" s="462" t="s">
        <v>60</v>
      </c>
      <c r="C27" s="491" t="s">
        <v>1126</v>
      </c>
      <c r="D27" s="844">
        <v>85380</v>
      </c>
      <c r="E27" s="845">
        <v>2716</v>
      </c>
      <c r="F27" s="844">
        <v>69335</v>
      </c>
      <c r="G27" s="846" t="s">
        <v>1127</v>
      </c>
      <c r="H27" s="845">
        <v>1224</v>
      </c>
      <c r="I27" s="845">
        <f t="shared" si="0"/>
        <v>321363</v>
      </c>
      <c r="J27" s="843">
        <v>159794</v>
      </c>
      <c r="K27" s="843">
        <v>161569</v>
      </c>
    </row>
    <row r="28" spans="2:11" ht="12" customHeight="1">
      <c r="E28" s="703"/>
      <c r="F28" s="847"/>
      <c r="I28" s="715" t="s">
        <v>1223</v>
      </c>
      <c r="J28" s="843"/>
    </row>
    <row r="32" spans="2:11">
      <c r="C32" s="795"/>
      <c r="D32" s="795"/>
      <c r="E32" s="795"/>
      <c r="F32" s="795"/>
      <c r="G32" s="795"/>
      <c r="H32" s="795"/>
      <c r="I32" s="795"/>
    </row>
  </sheetData>
  <mergeCells count="6">
    <mergeCell ref="A1:I1"/>
    <mergeCell ref="A2:I2"/>
    <mergeCell ref="B3:B4"/>
    <mergeCell ref="C3:C4"/>
    <mergeCell ref="I3:I4"/>
    <mergeCell ref="D3:H3"/>
  </mergeCells>
  <phoneticPr fontId="0" type="noConversion"/>
  <printOptions horizontalCentered="1"/>
  <pageMargins left="0.17" right="0.1" top="0.71" bottom="0.1" header="0.71" footer="0.1"/>
  <pageSetup paperSize="9" orientation="portrait" horizontalDpi="4294967295" r:id="rId1"/>
  <headerFooter alignWithMargins="0"/>
</worksheet>
</file>

<file path=xl/worksheets/sheet87.xml><?xml version="1.0" encoding="utf-8"?>
<worksheet xmlns="http://schemas.openxmlformats.org/spreadsheetml/2006/main" xmlns:r="http://schemas.openxmlformats.org/officeDocument/2006/relationships">
  <sheetPr codeName="Sheet103"/>
  <dimension ref="B1:G33"/>
  <sheetViews>
    <sheetView workbookViewId="0">
      <selection activeCell="N9" sqref="N9"/>
    </sheetView>
  </sheetViews>
  <sheetFormatPr defaultRowHeight="12.75"/>
  <cols>
    <col min="1" max="1" width="2.140625" style="172" customWidth="1"/>
    <col min="2" max="2" width="5.42578125" style="172" customWidth="1"/>
    <col min="3" max="3" width="16.5703125" style="172" customWidth="1"/>
    <col min="4" max="4" width="15.7109375" style="172" customWidth="1"/>
    <col min="5" max="5" width="13.28515625" style="172" customWidth="1"/>
    <col min="6" max="6" width="32" style="172" customWidth="1"/>
    <col min="7" max="16384" width="9.140625" style="172"/>
  </cols>
  <sheetData>
    <row r="1" spans="2:7" ht="16.5" customHeight="1">
      <c r="B1" s="1181" t="s">
        <v>1546</v>
      </c>
      <c r="C1" s="1181"/>
      <c r="D1" s="1181"/>
      <c r="E1" s="1181"/>
      <c r="F1" s="1181"/>
    </row>
    <row r="2" spans="2:7" s="206" customFormat="1" ht="20.25" customHeight="1">
      <c r="B2" s="1189" t="str">
        <f>CONCATENATE("Commercial and Gramin Banks in the Blocks of ",District!$A$1," for the year ",District!B3)</f>
        <v>Commercial and Gramin Banks in the Blocks of Bankura for the year 2013-14</v>
      </c>
      <c r="C2" s="1189"/>
      <c r="D2" s="1189"/>
      <c r="E2" s="1189"/>
      <c r="F2" s="1189"/>
      <c r="G2" s="288"/>
    </row>
    <row r="3" spans="2:7" ht="21" customHeight="1">
      <c r="B3" s="1194" t="s">
        <v>494</v>
      </c>
      <c r="C3" s="1260" t="s">
        <v>1000</v>
      </c>
      <c r="D3" s="1191" t="s">
        <v>1521</v>
      </c>
      <c r="E3" s="1192"/>
      <c r="F3" s="1194" t="s">
        <v>508</v>
      </c>
      <c r="G3" s="177"/>
    </row>
    <row r="4" spans="2:7" ht="21" customHeight="1">
      <c r="B4" s="1197"/>
      <c r="C4" s="1197"/>
      <c r="D4" s="231" t="s">
        <v>395</v>
      </c>
      <c r="E4" s="232" t="s">
        <v>1524</v>
      </c>
      <c r="F4" s="1594"/>
      <c r="G4" s="177"/>
    </row>
    <row r="5" spans="2:7" ht="18" customHeight="1">
      <c r="B5" s="213" t="s">
        <v>418</v>
      </c>
      <c r="C5" s="213" t="s">
        <v>419</v>
      </c>
      <c r="D5" s="213" t="s">
        <v>420</v>
      </c>
      <c r="E5" s="222" t="s">
        <v>421</v>
      </c>
      <c r="F5" s="213" t="s">
        <v>422</v>
      </c>
      <c r="G5" s="177"/>
    </row>
    <row r="6" spans="2:7" ht="24" customHeight="1">
      <c r="B6" s="83" t="s">
        <v>942</v>
      </c>
      <c r="C6" s="74" t="s">
        <v>596</v>
      </c>
      <c r="D6" s="183">
        <v>6</v>
      </c>
      <c r="E6" s="189">
        <v>1</v>
      </c>
      <c r="F6" s="183">
        <f>ROUND(VLOOKUP(C6,'2.2'!$B$5:$D$32,3,FALSE)/1000/SUM(D6,E6),0)</f>
        <v>15</v>
      </c>
    </row>
    <row r="7" spans="2:7" ht="24" customHeight="1">
      <c r="B7" s="83" t="s">
        <v>943</v>
      </c>
      <c r="C7" s="74" t="s">
        <v>595</v>
      </c>
      <c r="D7" s="302">
        <v>5</v>
      </c>
      <c r="E7" s="183">
        <v>3</v>
      </c>
      <c r="F7" s="183">
        <f>ROUND(VLOOKUP(C7,'2.2'!$B$5:$D$32,3,FALSE)/1000/SUM(D7,E7),0)</f>
        <v>18</v>
      </c>
    </row>
    <row r="8" spans="2:7" ht="24" customHeight="1">
      <c r="B8" s="83" t="s">
        <v>944</v>
      </c>
      <c r="C8" s="74" t="s">
        <v>597</v>
      </c>
      <c r="D8" s="183">
        <v>9</v>
      </c>
      <c r="E8" s="189">
        <v>4</v>
      </c>
      <c r="F8" s="183">
        <f>ROUND(VLOOKUP(C8,'2.2'!$B$5:$D$32,3,FALSE)/1000/SUM(D8,E8),0)</f>
        <v>15</v>
      </c>
    </row>
    <row r="9" spans="2:7" ht="24" customHeight="1">
      <c r="B9" s="83" t="s">
        <v>945</v>
      </c>
      <c r="C9" s="74" t="s">
        <v>598</v>
      </c>
      <c r="D9" s="183">
        <v>6</v>
      </c>
      <c r="E9" s="189">
        <v>1</v>
      </c>
      <c r="F9" s="183">
        <f>ROUND(VLOOKUP(C9,'2.2'!$B$5:$D$32,3,FALSE)/1000/SUM(D9,E9),0)</f>
        <v>19</v>
      </c>
    </row>
    <row r="10" spans="2:7" ht="24" customHeight="1">
      <c r="B10" s="83" t="s">
        <v>946</v>
      </c>
      <c r="C10" s="74" t="s">
        <v>599</v>
      </c>
      <c r="D10" s="183">
        <v>2</v>
      </c>
      <c r="E10" s="189">
        <v>2</v>
      </c>
      <c r="F10" s="183">
        <f>ROUND(VLOOKUP(C10,'2.2'!$B$5:$D$32,3,FALSE)/1000/SUM(D10,E10),0)</f>
        <v>22</v>
      </c>
    </row>
    <row r="11" spans="2:7" ht="24" customHeight="1">
      <c r="B11" s="83" t="s">
        <v>947</v>
      </c>
      <c r="C11" s="74" t="s">
        <v>771</v>
      </c>
      <c r="D11" s="183">
        <v>6</v>
      </c>
      <c r="E11" s="189">
        <v>4</v>
      </c>
      <c r="F11" s="183">
        <f>ROUND(VLOOKUP(C11,'2.2'!$B$5:$D$32,3,FALSE)/1000/SUM(D11,E11),0)</f>
        <v>18</v>
      </c>
    </row>
    <row r="12" spans="2:7" ht="24" customHeight="1">
      <c r="B12" s="83" t="s">
        <v>948</v>
      </c>
      <c r="C12" s="74" t="s">
        <v>600</v>
      </c>
      <c r="D12" s="183">
        <v>13</v>
      </c>
      <c r="E12" s="189">
        <v>3</v>
      </c>
      <c r="F12" s="183">
        <f>ROUND(VLOOKUP(C12,'2.2'!$B$5:$D$32,3,FALSE)/1000/SUM(D12,E12),0)</f>
        <v>13</v>
      </c>
    </row>
    <row r="13" spans="2:7" ht="24" customHeight="1">
      <c r="B13" s="83" t="s">
        <v>949</v>
      </c>
      <c r="C13" s="74" t="s">
        <v>602</v>
      </c>
      <c r="D13" s="183">
        <v>9</v>
      </c>
      <c r="E13" s="189">
        <v>3</v>
      </c>
      <c r="F13" s="183">
        <f>ROUND(VLOOKUP(C13,'2.2'!$B$5:$D$32,3,FALSE)/1000/SUM(D13,E13),0)</f>
        <v>21</v>
      </c>
    </row>
    <row r="14" spans="2:7" ht="24" customHeight="1">
      <c r="B14" s="83" t="s">
        <v>1344</v>
      </c>
      <c r="C14" s="74" t="s">
        <v>605</v>
      </c>
      <c r="D14" s="183">
        <v>3</v>
      </c>
      <c r="E14" s="189">
        <v>4</v>
      </c>
      <c r="F14" s="183">
        <f>ROUND(VLOOKUP(C14,'2.2'!$B$5:$D$32,3,FALSE)/1000/SUM(D14,E14),0)</f>
        <v>22</v>
      </c>
    </row>
    <row r="15" spans="2:7" ht="24" customHeight="1">
      <c r="B15" s="83" t="s">
        <v>1345</v>
      </c>
      <c r="C15" s="74" t="s">
        <v>604</v>
      </c>
      <c r="D15" s="183">
        <v>7</v>
      </c>
      <c r="E15" s="189">
        <v>3</v>
      </c>
      <c r="F15" s="183">
        <f>ROUND(VLOOKUP(C15,'2.2'!$B$5:$D$32,3,FALSE)/1000/SUM(D15,E15),0)</f>
        <v>12</v>
      </c>
    </row>
    <row r="16" spans="2:7" ht="24" customHeight="1">
      <c r="B16" s="83" t="s">
        <v>1346</v>
      </c>
      <c r="C16" s="74" t="s">
        <v>368</v>
      </c>
      <c r="D16" s="183">
        <v>1</v>
      </c>
      <c r="E16" s="189">
        <v>3</v>
      </c>
      <c r="F16" s="183">
        <f>ROUND(VLOOKUP(C16,'2.2'!$B$5:$D$32,3,FALSE)/1000/SUM(D16,E16),0)</f>
        <v>21</v>
      </c>
    </row>
    <row r="17" spans="2:6" ht="24" customHeight="1">
      <c r="B17" s="83" t="s">
        <v>50</v>
      </c>
      <c r="C17" s="74" t="s">
        <v>606</v>
      </c>
      <c r="D17" s="183">
        <v>5</v>
      </c>
      <c r="E17" s="189">
        <v>1</v>
      </c>
      <c r="F17" s="183">
        <f>ROUND(VLOOKUP(C17,'2.2'!$B$5:$D$32,3,FALSE)/1000/SUM(D17,E17),0)</f>
        <v>20</v>
      </c>
    </row>
    <row r="18" spans="2:6" ht="24" customHeight="1">
      <c r="B18" s="83" t="s">
        <v>51</v>
      </c>
      <c r="C18" s="74" t="s">
        <v>347</v>
      </c>
      <c r="D18" s="183">
        <v>3</v>
      </c>
      <c r="E18" s="189">
        <v>5</v>
      </c>
      <c r="F18" s="183">
        <f>ROUND(VLOOKUP(C18,'2.2'!$B$5:$D$32,3,FALSE)/1000/SUM(D18,E18),0)</f>
        <v>18</v>
      </c>
    </row>
    <row r="19" spans="2:6" ht="24" customHeight="1">
      <c r="B19" s="83" t="s">
        <v>52</v>
      </c>
      <c r="C19" s="74" t="s">
        <v>369</v>
      </c>
      <c r="D19" s="183">
        <v>6</v>
      </c>
      <c r="E19" s="189">
        <v>4</v>
      </c>
      <c r="F19" s="183">
        <f>ROUND(VLOOKUP(C19,'2.2'!$B$5:$D$32,3,FALSE)/1000/SUM(D19,E19),0)</f>
        <v>14</v>
      </c>
    </row>
    <row r="20" spans="2:6" ht="24" customHeight="1">
      <c r="B20" s="83" t="s">
        <v>53</v>
      </c>
      <c r="C20" s="74" t="s">
        <v>349</v>
      </c>
      <c r="D20" s="183">
        <v>6</v>
      </c>
      <c r="E20" s="189">
        <v>4</v>
      </c>
      <c r="F20" s="183">
        <f>ROUND(VLOOKUP(C20,'2.2'!$B$5:$D$32,3,FALSE)/1000/SUM(D20,E20),0)</f>
        <v>17</v>
      </c>
    </row>
    <row r="21" spans="2:6" ht="24" customHeight="1">
      <c r="B21" s="83" t="s">
        <v>54</v>
      </c>
      <c r="C21" s="74" t="s">
        <v>370</v>
      </c>
      <c r="D21" s="183">
        <v>3</v>
      </c>
      <c r="E21" s="189">
        <v>3</v>
      </c>
      <c r="F21" s="183">
        <f>ROUND(VLOOKUP(C21,'2.2'!$B$5:$D$32,3,FALSE)/1000/SUM(D21,E21),0)</f>
        <v>18</v>
      </c>
    </row>
    <row r="22" spans="2:6" ht="24" customHeight="1">
      <c r="B22" s="83" t="s">
        <v>55</v>
      </c>
      <c r="C22" s="74" t="s">
        <v>350</v>
      </c>
      <c r="D22" s="183">
        <v>6</v>
      </c>
      <c r="E22" s="189">
        <v>3</v>
      </c>
      <c r="F22" s="183">
        <f>ROUND(VLOOKUP(C22,'2.2'!$B$5:$D$32,3,FALSE)/1000/SUM(D22,E22),0)</f>
        <v>17</v>
      </c>
    </row>
    <row r="23" spans="2:6" ht="24" customHeight="1">
      <c r="B23" s="83" t="s">
        <v>56</v>
      </c>
      <c r="C23" s="74" t="s">
        <v>351</v>
      </c>
      <c r="D23" s="183">
        <v>5</v>
      </c>
      <c r="E23" s="189">
        <v>2</v>
      </c>
      <c r="F23" s="183">
        <f>ROUND(VLOOKUP(C23,'2.2'!$B$5:$D$32,3,FALSE)/1000/SUM(D23,E23),0)</f>
        <v>22</v>
      </c>
    </row>
    <row r="24" spans="2:6" ht="24" customHeight="1">
      <c r="B24" s="83" t="s">
        <v>57</v>
      </c>
      <c r="C24" s="74" t="s">
        <v>352</v>
      </c>
      <c r="D24" s="183">
        <v>9</v>
      </c>
      <c r="E24" s="189">
        <v>3</v>
      </c>
      <c r="F24" s="183">
        <f>ROUND(VLOOKUP(C24,'2.2'!$B$5:$D$32,3,FALSE)/1000/SUM(D24,E24),0)</f>
        <v>16</v>
      </c>
    </row>
    <row r="25" spans="2:6" ht="24" customHeight="1">
      <c r="B25" s="83" t="s">
        <v>58</v>
      </c>
      <c r="C25" s="74" t="s">
        <v>353</v>
      </c>
      <c r="D25" s="183">
        <v>2</v>
      </c>
      <c r="E25" s="189">
        <v>3</v>
      </c>
      <c r="F25" s="183">
        <f>ROUND(VLOOKUP(C25,'2.2'!$B$5:$D$32,3,FALSE)/1000/SUM(D25,E25),0)</f>
        <v>32</v>
      </c>
    </row>
    <row r="26" spans="2:6" ht="24" customHeight="1">
      <c r="B26" s="83" t="s">
        <v>59</v>
      </c>
      <c r="C26" s="74" t="s">
        <v>354</v>
      </c>
      <c r="D26" s="183">
        <v>7</v>
      </c>
      <c r="E26" s="189">
        <v>3</v>
      </c>
      <c r="F26" s="183">
        <f>ROUND(VLOOKUP(C26,'2.2'!$B$5:$D$32,3,FALSE)/1000/SUM(D26,E26),0)</f>
        <v>18</v>
      </c>
    </row>
    <row r="27" spans="2:6" ht="24" customHeight="1">
      <c r="B27" s="181" t="s">
        <v>60</v>
      </c>
      <c r="C27" s="75" t="s">
        <v>355</v>
      </c>
      <c r="D27" s="248">
        <v>4</v>
      </c>
      <c r="E27" s="227">
        <v>4</v>
      </c>
      <c r="F27" s="248">
        <f>ROUND(VLOOKUP(C27,'2.2'!$B$5:$D$32,3,FALSE)/1000/SUM(D27,E27),0)</f>
        <v>21</v>
      </c>
    </row>
    <row r="28" spans="2:6">
      <c r="B28" s="951" t="s">
        <v>509</v>
      </c>
      <c r="C28" s="266"/>
      <c r="D28" s="266"/>
      <c r="E28" s="266"/>
      <c r="F28" s="718" t="s">
        <v>721</v>
      </c>
    </row>
    <row r="29" spans="2:6">
      <c r="B29" s="266"/>
      <c r="C29" s="266"/>
      <c r="D29" s="266"/>
      <c r="E29" s="55"/>
      <c r="F29" s="55"/>
    </row>
    <row r="33" ht="14.25" customHeight="1"/>
  </sheetData>
  <mergeCells count="6">
    <mergeCell ref="B1:F1"/>
    <mergeCell ref="B3:B4"/>
    <mergeCell ref="B2:F2"/>
    <mergeCell ref="D3:E3"/>
    <mergeCell ref="C3:C4"/>
    <mergeCell ref="F3:F4"/>
  </mergeCells>
  <phoneticPr fontId="0" type="noConversion"/>
  <printOptions horizontalCentered="1"/>
  <pageMargins left="0.19" right="0.1" top="1.49" bottom="0.1" header="0.68" footer="0.1"/>
  <pageSetup paperSize="9" orientation="portrait" r:id="rId1"/>
  <headerFooter alignWithMargins="0"/>
</worksheet>
</file>

<file path=xl/worksheets/sheet88.xml><?xml version="1.0" encoding="utf-8"?>
<worksheet xmlns="http://schemas.openxmlformats.org/spreadsheetml/2006/main" xmlns:r="http://schemas.openxmlformats.org/officeDocument/2006/relationships">
  <sheetPr codeName="Sheet79"/>
  <dimension ref="A1:E33"/>
  <sheetViews>
    <sheetView workbookViewId="0">
      <selection activeCell="L7" sqref="L7"/>
    </sheetView>
  </sheetViews>
  <sheetFormatPr defaultRowHeight="12.75"/>
  <cols>
    <col min="1" max="1" width="5.85546875" style="172" customWidth="1"/>
    <col min="2" max="2" width="18.85546875" style="172" customWidth="1"/>
    <col min="3" max="3" width="18.42578125" style="172" customWidth="1"/>
    <col min="4" max="4" width="19.85546875" style="172" customWidth="1"/>
    <col min="5" max="5" width="18.140625" style="172" customWidth="1"/>
    <col min="6" max="16384" width="9.140625" style="172"/>
  </cols>
  <sheetData>
    <row r="1" spans="1:5" ht="16.5" customHeight="1">
      <c r="A1" s="1181" t="s">
        <v>1545</v>
      </c>
      <c r="B1" s="1181"/>
      <c r="C1" s="1181"/>
      <c r="D1" s="1181"/>
      <c r="E1" s="1181"/>
    </row>
    <row r="2" spans="1:5" s="206" customFormat="1" ht="23.25" customHeight="1">
      <c r="A2" s="1189" t="str">
        <f>CONCATENATE("Co-operative Societies in the Blocks of ",District!$A$1," for the year ",District!B3)</f>
        <v>Co-operative Societies in the Blocks of Bankura for the year 2013-14</v>
      </c>
      <c r="B2" s="1189"/>
      <c r="C2" s="1189"/>
      <c r="D2" s="1189"/>
      <c r="E2" s="1189"/>
    </row>
    <row r="3" spans="1:5" ht="36.75" customHeight="1">
      <c r="A3" s="263" t="s">
        <v>1203</v>
      </c>
      <c r="B3" s="263" t="s">
        <v>1000</v>
      </c>
      <c r="C3" s="447" t="s">
        <v>1336</v>
      </c>
      <c r="D3" s="263" t="s">
        <v>1464</v>
      </c>
      <c r="E3" s="332" t="s">
        <v>383</v>
      </c>
    </row>
    <row r="4" spans="1:5" ht="17.25" customHeight="1">
      <c r="A4" s="213" t="s">
        <v>418</v>
      </c>
      <c r="B4" s="213" t="s">
        <v>419</v>
      </c>
      <c r="C4" s="222" t="s">
        <v>420</v>
      </c>
      <c r="D4" s="213" t="s">
        <v>421</v>
      </c>
      <c r="E4" s="214" t="s">
        <v>422</v>
      </c>
    </row>
    <row r="5" spans="1:5" ht="24" customHeight="1">
      <c r="A5" s="83" t="s">
        <v>942</v>
      </c>
      <c r="B5" s="74" t="s">
        <v>596</v>
      </c>
      <c r="C5" s="24">
        <v>49</v>
      </c>
      <c r="D5" s="33">
        <v>16655</v>
      </c>
      <c r="E5" s="39">
        <v>214903</v>
      </c>
    </row>
    <row r="6" spans="1:5" ht="24" customHeight="1">
      <c r="A6" s="83" t="s">
        <v>943</v>
      </c>
      <c r="B6" s="74" t="s">
        <v>595</v>
      </c>
      <c r="C6" s="24">
        <v>49</v>
      </c>
      <c r="D6" s="33">
        <v>15071</v>
      </c>
      <c r="E6" s="39">
        <v>201156</v>
      </c>
    </row>
    <row r="7" spans="1:5" ht="24" customHeight="1">
      <c r="A7" s="83" t="s">
        <v>944</v>
      </c>
      <c r="B7" s="74" t="s">
        <v>597</v>
      </c>
      <c r="C7" s="24">
        <v>66</v>
      </c>
      <c r="D7" s="33">
        <v>21002</v>
      </c>
      <c r="E7" s="39">
        <v>65570</v>
      </c>
    </row>
    <row r="8" spans="1:5" ht="24" customHeight="1">
      <c r="A8" s="83" t="s">
        <v>945</v>
      </c>
      <c r="B8" s="74" t="s">
        <v>598</v>
      </c>
      <c r="C8" s="24">
        <v>26</v>
      </c>
      <c r="D8" s="33">
        <v>8798</v>
      </c>
      <c r="E8" s="39">
        <v>26484</v>
      </c>
    </row>
    <row r="9" spans="1:5" ht="24" customHeight="1">
      <c r="A9" s="83" t="s">
        <v>946</v>
      </c>
      <c r="B9" s="74" t="s">
        <v>599</v>
      </c>
      <c r="C9" s="24">
        <v>13</v>
      </c>
      <c r="D9" s="33">
        <v>4562</v>
      </c>
      <c r="E9" s="39">
        <v>35879</v>
      </c>
    </row>
    <row r="10" spans="1:5" ht="24" customHeight="1">
      <c r="A10" s="83" t="s">
        <v>947</v>
      </c>
      <c r="B10" s="74" t="s">
        <v>771</v>
      </c>
      <c r="C10" s="24">
        <v>52</v>
      </c>
      <c r="D10" s="33">
        <v>16112</v>
      </c>
      <c r="E10" s="39">
        <v>51821</v>
      </c>
    </row>
    <row r="11" spans="1:5" ht="24" customHeight="1">
      <c r="A11" s="83" t="s">
        <v>948</v>
      </c>
      <c r="B11" s="74" t="s">
        <v>1390</v>
      </c>
      <c r="C11" s="24">
        <v>75</v>
      </c>
      <c r="D11" s="33">
        <v>19568</v>
      </c>
      <c r="E11" s="39">
        <v>241975</v>
      </c>
    </row>
    <row r="12" spans="1:5" ht="24" customHeight="1">
      <c r="A12" s="83" t="s">
        <v>949</v>
      </c>
      <c r="B12" s="74" t="s">
        <v>602</v>
      </c>
      <c r="C12" s="24">
        <v>71</v>
      </c>
      <c r="D12" s="33">
        <v>20756</v>
      </c>
      <c r="E12" s="39">
        <v>200452</v>
      </c>
    </row>
    <row r="13" spans="1:5" ht="24" customHeight="1">
      <c r="A13" s="83" t="s">
        <v>1344</v>
      </c>
      <c r="B13" s="74" t="s">
        <v>605</v>
      </c>
      <c r="C13" s="24">
        <v>65</v>
      </c>
      <c r="D13" s="33">
        <v>15012</v>
      </c>
      <c r="E13" s="39">
        <v>90014</v>
      </c>
    </row>
    <row r="14" spans="1:5" ht="24" customHeight="1">
      <c r="A14" s="83" t="s">
        <v>1345</v>
      </c>
      <c r="B14" s="74" t="s">
        <v>604</v>
      </c>
      <c r="C14" s="24">
        <v>54</v>
      </c>
      <c r="D14" s="33">
        <v>24101</v>
      </c>
      <c r="E14" s="39">
        <v>524932</v>
      </c>
    </row>
    <row r="15" spans="1:5" ht="24" customHeight="1">
      <c r="A15" s="83" t="s">
        <v>1346</v>
      </c>
      <c r="B15" s="74" t="s">
        <v>63</v>
      </c>
      <c r="C15" s="24">
        <v>27</v>
      </c>
      <c r="D15" s="33">
        <v>8396</v>
      </c>
      <c r="E15" s="39">
        <v>64542</v>
      </c>
    </row>
    <row r="16" spans="1:5" ht="24" customHeight="1">
      <c r="A16" s="83" t="s">
        <v>50</v>
      </c>
      <c r="B16" s="74" t="s">
        <v>606</v>
      </c>
      <c r="C16" s="24">
        <v>35</v>
      </c>
      <c r="D16" s="33">
        <v>10998</v>
      </c>
      <c r="E16" s="39">
        <v>71838</v>
      </c>
    </row>
    <row r="17" spans="1:5" ht="24" customHeight="1">
      <c r="A17" s="83" t="s">
        <v>51</v>
      </c>
      <c r="B17" s="74" t="s">
        <v>347</v>
      </c>
      <c r="C17" s="24">
        <v>52</v>
      </c>
      <c r="D17" s="33">
        <v>17923</v>
      </c>
      <c r="E17" s="39">
        <v>186227</v>
      </c>
    </row>
    <row r="18" spans="1:5" ht="24" customHeight="1">
      <c r="A18" s="83" t="s">
        <v>52</v>
      </c>
      <c r="B18" s="74" t="s">
        <v>369</v>
      </c>
      <c r="C18" s="24">
        <v>42</v>
      </c>
      <c r="D18" s="33">
        <v>13871</v>
      </c>
      <c r="E18" s="39">
        <v>120564</v>
      </c>
    </row>
    <row r="19" spans="1:5" ht="24" customHeight="1">
      <c r="A19" s="83" t="s">
        <v>53</v>
      </c>
      <c r="B19" s="74" t="s">
        <v>349</v>
      </c>
      <c r="C19" s="24">
        <v>69</v>
      </c>
      <c r="D19" s="33">
        <v>15296</v>
      </c>
      <c r="E19" s="39">
        <v>114298</v>
      </c>
    </row>
    <row r="20" spans="1:5" ht="24" customHeight="1">
      <c r="A20" s="83" t="s">
        <v>54</v>
      </c>
      <c r="B20" s="74" t="s">
        <v>370</v>
      </c>
      <c r="C20" s="24">
        <v>58</v>
      </c>
      <c r="D20" s="33">
        <v>17562</v>
      </c>
      <c r="E20" s="39">
        <v>112955</v>
      </c>
    </row>
    <row r="21" spans="1:5" ht="24" customHeight="1">
      <c r="A21" s="83" t="s">
        <v>55</v>
      </c>
      <c r="B21" s="74" t="s">
        <v>350</v>
      </c>
      <c r="C21" s="24">
        <v>34</v>
      </c>
      <c r="D21" s="33">
        <v>22012</v>
      </c>
      <c r="E21" s="39">
        <v>341140</v>
      </c>
    </row>
    <row r="22" spans="1:5" ht="24" customHeight="1">
      <c r="A22" s="83" t="s">
        <v>56</v>
      </c>
      <c r="B22" s="74" t="s">
        <v>351</v>
      </c>
      <c r="C22" s="24">
        <v>36</v>
      </c>
      <c r="D22" s="33">
        <v>35641</v>
      </c>
      <c r="E22" s="39">
        <v>540093</v>
      </c>
    </row>
    <row r="23" spans="1:5" ht="24" customHeight="1">
      <c r="A23" s="83" t="s">
        <v>57</v>
      </c>
      <c r="B23" s="74" t="s">
        <v>352</v>
      </c>
      <c r="C23" s="24">
        <v>43</v>
      </c>
      <c r="D23" s="33">
        <v>36005</v>
      </c>
      <c r="E23" s="39">
        <v>754572</v>
      </c>
    </row>
    <row r="24" spans="1:5" ht="24" customHeight="1">
      <c r="A24" s="83" t="s">
        <v>58</v>
      </c>
      <c r="B24" s="74" t="s">
        <v>353</v>
      </c>
      <c r="C24" s="24">
        <v>46</v>
      </c>
      <c r="D24" s="33">
        <v>20193</v>
      </c>
      <c r="E24" s="39">
        <v>319347</v>
      </c>
    </row>
    <row r="25" spans="1:5" ht="24" customHeight="1">
      <c r="A25" s="83" t="s">
        <v>59</v>
      </c>
      <c r="B25" s="74" t="s">
        <v>354</v>
      </c>
      <c r="C25" s="24">
        <v>46</v>
      </c>
      <c r="D25" s="33">
        <v>26936</v>
      </c>
      <c r="E25" s="39">
        <v>593287</v>
      </c>
    </row>
    <row r="26" spans="1:5" ht="24" customHeight="1">
      <c r="A26" s="181" t="s">
        <v>60</v>
      </c>
      <c r="B26" s="75" t="s">
        <v>1126</v>
      </c>
      <c r="C26" s="40">
        <v>43</v>
      </c>
      <c r="D26" s="41">
        <v>31137</v>
      </c>
      <c r="E26" s="42">
        <v>524680</v>
      </c>
    </row>
    <row r="27" spans="1:5" ht="15" customHeight="1">
      <c r="A27" s="55"/>
      <c r="B27" s="55"/>
      <c r="C27" s="266"/>
      <c r="D27" s="55"/>
      <c r="E27" s="718" t="s">
        <v>1511</v>
      </c>
    </row>
    <row r="33" ht="14.25" customHeight="1"/>
  </sheetData>
  <mergeCells count="2">
    <mergeCell ref="A2:E2"/>
    <mergeCell ref="A1:E1"/>
  </mergeCells>
  <phoneticPr fontId="0" type="noConversion"/>
  <printOptions horizontalCentered="1"/>
  <pageMargins left="0.1" right="0.1" top="1.26" bottom="0.1" header="0.5" footer="0.17"/>
  <pageSetup paperSize="9" orientation="portrait" r:id="rId1"/>
  <headerFooter alignWithMargins="0"/>
</worksheet>
</file>

<file path=xl/worksheets/sheet89.xml><?xml version="1.0" encoding="utf-8"?>
<worksheet xmlns="http://schemas.openxmlformats.org/spreadsheetml/2006/main" xmlns:r="http://schemas.openxmlformats.org/officeDocument/2006/relationships">
  <sheetPr codeName="Sheet105"/>
  <dimension ref="A1:N59"/>
  <sheetViews>
    <sheetView workbookViewId="0">
      <selection activeCell="L7" sqref="L7"/>
    </sheetView>
  </sheetViews>
  <sheetFormatPr defaultRowHeight="12.75"/>
  <cols>
    <col min="1" max="1" width="4.5703125" style="172" customWidth="1"/>
    <col min="2" max="2" width="19.7109375" style="172" customWidth="1"/>
    <col min="3" max="10" width="14" style="172" customWidth="1"/>
    <col min="11" max="16384" width="9.140625" style="172"/>
  </cols>
  <sheetData>
    <row r="1" spans="1:14" ht="13.5" customHeight="1">
      <c r="A1" s="1181" t="s">
        <v>1544</v>
      </c>
      <c r="B1" s="1181"/>
      <c r="C1" s="1181"/>
      <c r="D1" s="1181"/>
      <c r="E1" s="1181"/>
      <c r="F1" s="1181"/>
      <c r="G1" s="1181"/>
      <c r="H1" s="1181"/>
      <c r="I1" s="1181"/>
      <c r="J1" s="1181"/>
    </row>
    <row r="2" spans="1:14" s="206" customFormat="1" ht="18" customHeight="1">
      <c r="A2" s="1463" t="str">
        <f>CONCATENATE("Length of Roads maintained by different agencies in the Blocks of ",District!$A$1," for the year ",District!B3)</f>
        <v>Length of Roads maintained by different agencies in the Blocks of Bankura for the year 2013-14</v>
      </c>
      <c r="B2" s="1463"/>
      <c r="C2" s="1463"/>
      <c r="D2" s="1463"/>
      <c r="E2" s="1463"/>
      <c r="F2" s="1463"/>
      <c r="G2" s="1463"/>
      <c r="H2" s="1463"/>
      <c r="I2" s="1463"/>
      <c r="J2" s="1463"/>
    </row>
    <row r="3" spans="1:14">
      <c r="A3" s="259"/>
      <c r="B3" s="100"/>
      <c r="C3" s="349"/>
      <c r="D3" s="349"/>
      <c r="E3" s="349"/>
      <c r="F3" s="349"/>
      <c r="G3" s="349"/>
      <c r="J3" s="114" t="s">
        <v>1365</v>
      </c>
    </row>
    <row r="4" spans="1:14" ht="26.25" customHeight="1">
      <c r="A4" s="1194" t="s">
        <v>494</v>
      </c>
      <c r="B4" s="1194" t="s">
        <v>1621</v>
      </c>
      <c r="C4" s="1187" t="s">
        <v>1366</v>
      </c>
      <c r="D4" s="1184"/>
      <c r="E4" s="1258" t="s">
        <v>1367</v>
      </c>
      <c r="F4" s="1260"/>
      <c r="G4" s="1259" t="s">
        <v>1371</v>
      </c>
      <c r="H4" s="1260"/>
      <c r="I4" s="1259" t="s">
        <v>1268</v>
      </c>
      <c r="J4" s="1260"/>
    </row>
    <row r="5" spans="1:14" ht="19.5" customHeight="1">
      <c r="A5" s="1197"/>
      <c r="B5" s="1197"/>
      <c r="C5" s="231" t="s">
        <v>405</v>
      </c>
      <c r="D5" s="231" t="s">
        <v>1525</v>
      </c>
      <c r="E5" s="212" t="s">
        <v>405</v>
      </c>
      <c r="F5" s="231" t="s">
        <v>1525</v>
      </c>
      <c r="G5" s="212" t="s">
        <v>405</v>
      </c>
      <c r="H5" s="231" t="s">
        <v>1525</v>
      </c>
      <c r="I5" s="212" t="s">
        <v>405</v>
      </c>
      <c r="J5" s="231" t="s">
        <v>1525</v>
      </c>
    </row>
    <row r="6" spans="1:14" ht="15.75" customHeight="1">
      <c r="A6" s="213" t="s">
        <v>418</v>
      </c>
      <c r="B6" s="213" t="s">
        <v>419</v>
      </c>
      <c r="C6" s="222" t="s">
        <v>420</v>
      </c>
      <c r="D6" s="213" t="s">
        <v>421</v>
      </c>
      <c r="E6" s="222" t="s">
        <v>422</v>
      </c>
      <c r="F6" s="213" t="s">
        <v>423</v>
      </c>
      <c r="G6" s="222" t="s">
        <v>424</v>
      </c>
      <c r="H6" s="213" t="s">
        <v>440</v>
      </c>
      <c r="I6" s="222" t="s">
        <v>441</v>
      </c>
      <c r="J6" s="213" t="s">
        <v>442</v>
      </c>
    </row>
    <row r="7" spans="1:14" ht="16.5" customHeight="1">
      <c r="A7" s="83" t="s">
        <v>942</v>
      </c>
      <c r="B7" s="301" t="s">
        <v>1512</v>
      </c>
      <c r="C7" s="167">
        <v>24.92</v>
      </c>
      <c r="D7" s="77" t="s">
        <v>1127</v>
      </c>
      <c r="E7" s="167">
        <v>4.68</v>
      </c>
      <c r="F7" s="1102" t="s">
        <v>1127</v>
      </c>
      <c r="G7" s="167">
        <v>4.5</v>
      </c>
      <c r="H7" s="343">
        <v>277</v>
      </c>
      <c r="I7" s="150">
        <v>55.64</v>
      </c>
      <c r="J7" s="645" t="s">
        <v>1127</v>
      </c>
    </row>
    <row r="8" spans="1:14" s="567" customFormat="1" ht="16.5" customHeight="1">
      <c r="A8" s="83" t="s">
        <v>943</v>
      </c>
      <c r="B8" s="74" t="s">
        <v>595</v>
      </c>
      <c r="C8" s="167">
        <v>39</v>
      </c>
      <c r="D8" s="77" t="s">
        <v>1127</v>
      </c>
      <c r="E8" s="167">
        <v>12</v>
      </c>
      <c r="F8" s="1102" t="s">
        <v>1127</v>
      </c>
      <c r="G8" s="72">
        <v>25</v>
      </c>
      <c r="H8" s="343">
        <v>245</v>
      </c>
      <c r="I8" s="150">
        <v>8.26</v>
      </c>
      <c r="J8" s="343" t="s">
        <v>1127</v>
      </c>
      <c r="K8" s="172"/>
      <c r="L8" s="172"/>
      <c r="M8" s="172"/>
      <c r="N8" s="566"/>
    </row>
    <row r="9" spans="1:14" s="567" customFormat="1" ht="16.5" customHeight="1">
      <c r="A9" s="83" t="s">
        <v>944</v>
      </c>
      <c r="B9" s="74" t="s">
        <v>597</v>
      </c>
      <c r="C9" s="167">
        <v>59.95</v>
      </c>
      <c r="D9" s="77" t="s">
        <v>1127</v>
      </c>
      <c r="E9" s="167">
        <v>55.78</v>
      </c>
      <c r="F9" s="343">
        <v>17.670000000000002</v>
      </c>
      <c r="G9" s="78" t="s">
        <v>1127</v>
      </c>
      <c r="H9" s="343">
        <v>446</v>
      </c>
      <c r="I9" s="72">
        <v>138.32</v>
      </c>
      <c r="J9" s="343" t="s">
        <v>1127</v>
      </c>
      <c r="K9" s="172"/>
      <c r="L9" s="172"/>
      <c r="M9" s="566"/>
    </row>
    <row r="10" spans="1:14" s="567" customFormat="1" ht="16.5" customHeight="1">
      <c r="A10" s="83" t="s">
        <v>945</v>
      </c>
      <c r="B10" s="74" t="s">
        <v>598</v>
      </c>
      <c r="C10" s="167">
        <v>57.6</v>
      </c>
      <c r="D10" s="77" t="s">
        <v>1127</v>
      </c>
      <c r="E10" s="167">
        <v>27.1</v>
      </c>
      <c r="F10" s="1102" t="s">
        <v>1127</v>
      </c>
      <c r="G10" s="72">
        <v>8.0299999999999994</v>
      </c>
      <c r="H10" s="343">
        <v>369</v>
      </c>
      <c r="I10" s="72">
        <v>77.03</v>
      </c>
      <c r="J10" s="343" t="s">
        <v>1127</v>
      </c>
      <c r="K10" s="172"/>
      <c r="L10" s="172"/>
      <c r="M10" s="566"/>
    </row>
    <row r="11" spans="1:14" s="567" customFormat="1" ht="16.5" customHeight="1">
      <c r="A11" s="83" t="s">
        <v>946</v>
      </c>
      <c r="B11" s="74" t="s">
        <v>599</v>
      </c>
      <c r="C11" s="167">
        <v>24.17</v>
      </c>
      <c r="D11" s="77" t="s">
        <v>1127</v>
      </c>
      <c r="E11" s="167">
        <v>12.39</v>
      </c>
      <c r="F11" s="343">
        <v>4.82</v>
      </c>
      <c r="G11" s="167">
        <v>12.5</v>
      </c>
      <c r="H11" s="343">
        <v>205</v>
      </c>
      <c r="I11" s="72">
        <v>20.399999999999999</v>
      </c>
      <c r="J11" s="343" t="s">
        <v>1127</v>
      </c>
      <c r="K11" s="172"/>
      <c r="L11" s="172"/>
      <c r="M11" s="566"/>
    </row>
    <row r="12" spans="1:14" s="567" customFormat="1" ht="16.5" customHeight="1">
      <c r="A12" s="83" t="s">
        <v>947</v>
      </c>
      <c r="B12" s="74" t="s">
        <v>771</v>
      </c>
      <c r="C12" s="167">
        <v>32.700000000000003</v>
      </c>
      <c r="D12" s="77" t="s">
        <v>1127</v>
      </c>
      <c r="E12" s="167">
        <v>1</v>
      </c>
      <c r="F12" s="1102" t="s">
        <v>1127</v>
      </c>
      <c r="G12" s="72">
        <v>19</v>
      </c>
      <c r="H12" s="343">
        <v>305</v>
      </c>
      <c r="I12" s="72">
        <v>61.73</v>
      </c>
      <c r="J12" s="343" t="s">
        <v>1127</v>
      </c>
      <c r="K12" s="172"/>
      <c r="L12" s="172"/>
      <c r="M12" s="566"/>
    </row>
    <row r="13" spans="1:14" s="567" customFormat="1" ht="16.5" customHeight="1">
      <c r="A13" s="83" t="s">
        <v>948</v>
      </c>
      <c r="B13" s="74" t="s">
        <v>600</v>
      </c>
      <c r="C13" s="167">
        <v>51</v>
      </c>
      <c r="D13" s="77" t="s">
        <v>1127</v>
      </c>
      <c r="E13" s="167">
        <v>12.2</v>
      </c>
      <c r="F13" s="1102" t="s">
        <v>1127</v>
      </c>
      <c r="G13" s="78" t="s">
        <v>1127</v>
      </c>
      <c r="H13" s="343">
        <v>420</v>
      </c>
      <c r="I13" s="72">
        <v>63.35</v>
      </c>
      <c r="J13" s="343" t="s">
        <v>1127</v>
      </c>
      <c r="K13" s="172"/>
      <c r="L13" s="172"/>
      <c r="M13" s="566"/>
    </row>
    <row r="14" spans="1:14" s="567" customFormat="1" ht="16.5" customHeight="1">
      <c r="A14" s="83" t="s">
        <v>949</v>
      </c>
      <c r="B14" s="74" t="s">
        <v>602</v>
      </c>
      <c r="C14" s="167">
        <v>26</v>
      </c>
      <c r="D14" s="77" t="s">
        <v>1127</v>
      </c>
      <c r="E14" s="167">
        <v>38.81</v>
      </c>
      <c r="F14" s="343">
        <v>26.57</v>
      </c>
      <c r="G14" s="167">
        <v>29</v>
      </c>
      <c r="H14" s="343">
        <v>497</v>
      </c>
      <c r="I14" s="72">
        <v>89.7</v>
      </c>
      <c r="J14" s="343" t="s">
        <v>1127</v>
      </c>
      <c r="K14" s="172"/>
      <c r="L14" s="172"/>
      <c r="M14" s="566"/>
    </row>
    <row r="15" spans="1:14" s="567" customFormat="1" ht="16.5" customHeight="1">
      <c r="A15" s="83" t="s">
        <v>1344</v>
      </c>
      <c r="B15" s="74" t="s">
        <v>605</v>
      </c>
      <c r="C15" s="167">
        <v>41</v>
      </c>
      <c r="D15" s="77" t="s">
        <v>1127</v>
      </c>
      <c r="E15" s="167">
        <v>13.4</v>
      </c>
      <c r="F15" s="343">
        <v>6</v>
      </c>
      <c r="G15" s="167">
        <v>35</v>
      </c>
      <c r="H15" s="343">
        <v>448</v>
      </c>
      <c r="I15" s="72">
        <v>48.39</v>
      </c>
      <c r="J15" s="343" t="s">
        <v>1127</v>
      </c>
      <c r="K15" s="172"/>
      <c r="L15" s="172"/>
      <c r="M15" s="566"/>
    </row>
    <row r="16" spans="1:14" ht="16.5" customHeight="1">
      <c r="A16" s="83" t="s">
        <v>1345</v>
      </c>
      <c r="B16" s="74" t="s">
        <v>604</v>
      </c>
      <c r="C16" s="167">
        <v>51.242199999999997</v>
      </c>
      <c r="D16" s="77" t="s">
        <v>1127</v>
      </c>
      <c r="E16" s="167">
        <v>8.35</v>
      </c>
      <c r="F16" s="1102" t="s">
        <v>1127</v>
      </c>
      <c r="G16" s="72">
        <v>20</v>
      </c>
      <c r="H16" s="343">
        <v>364</v>
      </c>
      <c r="I16" s="72">
        <v>81.94</v>
      </c>
      <c r="J16" s="343" t="s">
        <v>1127</v>
      </c>
    </row>
    <row r="17" spans="1:10" ht="16.5" customHeight="1">
      <c r="A17" s="83" t="s">
        <v>1346</v>
      </c>
      <c r="B17" s="74" t="s">
        <v>63</v>
      </c>
      <c r="C17" s="167">
        <v>22</v>
      </c>
      <c r="D17" s="77" t="s">
        <v>1127</v>
      </c>
      <c r="E17" s="167">
        <v>22.75</v>
      </c>
      <c r="F17" s="1102" t="s">
        <v>1127</v>
      </c>
      <c r="G17" s="167">
        <v>28</v>
      </c>
      <c r="H17" s="343">
        <v>316</v>
      </c>
      <c r="I17" s="72">
        <v>21.15</v>
      </c>
      <c r="J17" s="343" t="s">
        <v>1127</v>
      </c>
    </row>
    <row r="18" spans="1:10" ht="16.5" customHeight="1">
      <c r="A18" s="83" t="s">
        <v>50</v>
      </c>
      <c r="B18" s="74" t="s">
        <v>606</v>
      </c>
      <c r="C18" s="167">
        <v>45.5</v>
      </c>
      <c r="D18" s="77" t="s">
        <v>1127</v>
      </c>
      <c r="E18" s="167">
        <v>29.95</v>
      </c>
      <c r="F18" s="1102" t="s">
        <v>1127</v>
      </c>
      <c r="G18" s="167">
        <v>25</v>
      </c>
      <c r="H18" s="343">
        <v>265</v>
      </c>
      <c r="I18" s="72">
        <v>123.56</v>
      </c>
      <c r="J18" s="343" t="s">
        <v>1127</v>
      </c>
    </row>
    <row r="19" spans="1:10" ht="16.5" customHeight="1">
      <c r="A19" s="83" t="s">
        <v>51</v>
      </c>
      <c r="B19" s="74" t="s">
        <v>347</v>
      </c>
      <c r="C19" s="167">
        <v>60</v>
      </c>
      <c r="D19" s="77" t="s">
        <v>1127</v>
      </c>
      <c r="E19" s="167">
        <v>38.28</v>
      </c>
      <c r="F19" s="1102" t="s">
        <v>1127</v>
      </c>
      <c r="G19" s="167">
        <v>30</v>
      </c>
      <c r="H19" s="343">
        <v>403</v>
      </c>
      <c r="I19" s="72">
        <v>44.94</v>
      </c>
      <c r="J19" s="343" t="s">
        <v>1127</v>
      </c>
    </row>
    <row r="20" spans="1:10" ht="16.5" customHeight="1">
      <c r="A20" s="83" t="s">
        <v>52</v>
      </c>
      <c r="B20" s="74" t="s">
        <v>369</v>
      </c>
      <c r="C20" s="167">
        <v>48.24</v>
      </c>
      <c r="D20" s="77" t="s">
        <v>1127</v>
      </c>
      <c r="E20" s="167">
        <v>26.98</v>
      </c>
      <c r="F20" s="1102" t="s">
        <v>1127</v>
      </c>
      <c r="G20" s="167">
        <v>25</v>
      </c>
      <c r="H20" s="343">
        <v>370</v>
      </c>
      <c r="I20" s="72">
        <v>42.79</v>
      </c>
      <c r="J20" s="343" t="s">
        <v>1127</v>
      </c>
    </row>
    <row r="21" spans="1:10" ht="16.5" customHeight="1">
      <c r="A21" s="83" t="s">
        <v>53</v>
      </c>
      <c r="B21" s="74" t="s">
        <v>349</v>
      </c>
      <c r="C21" s="167">
        <v>35.200000000000003</v>
      </c>
      <c r="D21" s="77" t="s">
        <v>1127</v>
      </c>
      <c r="E21" s="167">
        <v>64.650000000000006</v>
      </c>
      <c r="F21" s="343">
        <v>4.8</v>
      </c>
      <c r="G21" s="167">
        <v>24</v>
      </c>
      <c r="H21" s="343">
        <v>640</v>
      </c>
      <c r="I21" s="72">
        <v>105.03</v>
      </c>
      <c r="J21" s="343" t="s">
        <v>1127</v>
      </c>
    </row>
    <row r="22" spans="1:10" ht="16.5" customHeight="1">
      <c r="A22" s="83" t="s">
        <v>54</v>
      </c>
      <c r="B22" s="74" t="s">
        <v>370</v>
      </c>
      <c r="C22" s="167">
        <v>42</v>
      </c>
      <c r="D22" s="77" t="s">
        <v>1127</v>
      </c>
      <c r="E22" s="167">
        <v>4.47</v>
      </c>
      <c r="F22" s="1102" t="s">
        <v>1127</v>
      </c>
      <c r="G22" s="167">
        <v>2.2999999999999998</v>
      </c>
      <c r="H22" s="343">
        <v>415</v>
      </c>
      <c r="I22" s="72">
        <v>37.9</v>
      </c>
      <c r="J22" s="343" t="s">
        <v>1127</v>
      </c>
    </row>
    <row r="23" spans="1:10" ht="16.5" customHeight="1">
      <c r="A23" s="83" t="s">
        <v>55</v>
      </c>
      <c r="B23" s="74" t="s">
        <v>350</v>
      </c>
      <c r="C23" s="167">
        <v>85</v>
      </c>
      <c r="D23" s="77" t="s">
        <v>1127</v>
      </c>
      <c r="E23" s="167">
        <v>20</v>
      </c>
      <c r="F23" s="343">
        <v>11.26</v>
      </c>
      <c r="G23" s="167">
        <v>11.95</v>
      </c>
      <c r="H23" s="343">
        <v>259</v>
      </c>
      <c r="I23" s="72">
        <v>58.57</v>
      </c>
      <c r="J23" s="343" t="s">
        <v>1127</v>
      </c>
    </row>
    <row r="24" spans="1:10" ht="16.5" customHeight="1">
      <c r="A24" s="83" t="s">
        <v>56</v>
      </c>
      <c r="B24" s="74" t="s">
        <v>351</v>
      </c>
      <c r="C24" s="167">
        <v>41</v>
      </c>
      <c r="D24" s="77" t="s">
        <v>1127</v>
      </c>
      <c r="E24" s="167">
        <v>18.02</v>
      </c>
      <c r="F24" s="1102" t="s">
        <v>1127</v>
      </c>
      <c r="G24" s="167">
        <v>7</v>
      </c>
      <c r="H24" s="343">
        <v>420</v>
      </c>
      <c r="I24" s="72">
        <v>23.83</v>
      </c>
      <c r="J24" s="343" t="s">
        <v>1127</v>
      </c>
    </row>
    <row r="25" spans="1:10" ht="16.5" customHeight="1">
      <c r="A25" s="83" t="s">
        <v>57</v>
      </c>
      <c r="B25" s="74" t="s">
        <v>352</v>
      </c>
      <c r="C25" s="167">
        <v>31.6</v>
      </c>
      <c r="D25" s="77" t="s">
        <v>1127</v>
      </c>
      <c r="E25" s="167">
        <v>18.32</v>
      </c>
      <c r="F25" s="1102">
        <v>20.9</v>
      </c>
      <c r="G25" s="167">
        <v>10.5</v>
      </c>
      <c r="H25" s="343">
        <v>448</v>
      </c>
      <c r="I25" s="72">
        <v>66.72</v>
      </c>
      <c r="J25" s="343" t="s">
        <v>1127</v>
      </c>
    </row>
    <row r="26" spans="1:10" ht="16.5" customHeight="1">
      <c r="A26" s="83" t="s">
        <v>58</v>
      </c>
      <c r="B26" s="74" t="s">
        <v>353</v>
      </c>
      <c r="C26" s="167">
        <v>62.6</v>
      </c>
      <c r="D26" s="77" t="s">
        <v>1127</v>
      </c>
      <c r="E26" s="167">
        <v>16.02</v>
      </c>
      <c r="F26" s="1102" t="s">
        <v>1127</v>
      </c>
      <c r="G26" s="78" t="s">
        <v>1127</v>
      </c>
      <c r="H26" s="343">
        <v>464</v>
      </c>
      <c r="I26" s="72">
        <v>69.02</v>
      </c>
      <c r="J26" s="343" t="s">
        <v>1127</v>
      </c>
    </row>
    <row r="27" spans="1:10" ht="16.5" customHeight="1">
      <c r="A27" s="83" t="s">
        <v>59</v>
      </c>
      <c r="B27" s="74" t="s">
        <v>354</v>
      </c>
      <c r="C27" s="167">
        <v>57.05</v>
      </c>
      <c r="D27" s="77" t="s">
        <v>1127</v>
      </c>
      <c r="E27" s="167">
        <v>10.88</v>
      </c>
      <c r="F27" s="1102" t="s">
        <v>1127</v>
      </c>
      <c r="G27" s="167">
        <v>12.9</v>
      </c>
      <c r="H27" s="343">
        <v>409</v>
      </c>
      <c r="I27" s="72">
        <v>69.48</v>
      </c>
      <c r="J27" s="343" t="s">
        <v>1127</v>
      </c>
    </row>
    <row r="28" spans="1:10" ht="16.5" customHeight="1">
      <c r="A28" s="181" t="s">
        <v>60</v>
      </c>
      <c r="B28" s="75" t="s">
        <v>1126</v>
      </c>
      <c r="C28" s="165">
        <v>50.27</v>
      </c>
      <c r="D28" s="77" t="s">
        <v>1127</v>
      </c>
      <c r="E28" s="165">
        <v>16.66</v>
      </c>
      <c r="F28" s="514">
        <v>4</v>
      </c>
      <c r="G28" s="165">
        <v>9</v>
      </c>
      <c r="H28" s="514">
        <v>400</v>
      </c>
      <c r="I28" s="111">
        <v>50.45</v>
      </c>
      <c r="J28" s="514" t="s">
        <v>1127</v>
      </c>
    </row>
    <row r="29" spans="1:10" ht="12.75" customHeight="1">
      <c r="A29" s="1103" t="s">
        <v>1701</v>
      </c>
      <c r="B29" s="286"/>
      <c r="C29" s="286"/>
      <c r="D29" s="286"/>
      <c r="G29" s="718"/>
      <c r="H29" s="752" t="s">
        <v>520</v>
      </c>
      <c r="I29" s="707" t="s">
        <v>250</v>
      </c>
    </row>
    <row r="30" spans="1:10" ht="12.75" customHeight="1">
      <c r="A30" s="266"/>
      <c r="B30" s="1104" t="s">
        <v>1702</v>
      </c>
      <c r="C30" s="266"/>
      <c r="G30" s="651"/>
      <c r="H30" s="707"/>
      <c r="I30" s="707" t="s">
        <v>359</v>
      </c>
    </row>
    <row r="31" spans="1:10" ht="12.75" customHeight="1">
      <c r="A31" s="266"/>
      <c r="B31" s="266"/>
      <c r="C31" s="266"/>
      <c r="G31" s="651"/>
      <c r="H31" s="651"/>
      <c r="I31" s="651" t="s">
        <v>251</v>
      </c>
    </row>
    <row r="32" spans="1:10" ht="14.25" customHeight="1">
      <c r="D32" s="540"/>
      <c r="E32" s="540"/>
      <c r="F32" s="540"/>
      <c r="G32" s="540"/>
      <c r="H32" s="651"/>
      <c r="I32" s="651" t="s">
        <v>252</v>
      </c>
    </row>
    <row r="33" spans="3:10" ht="14.25" customHeight="1">
      <c r="C33" s="1110"/>
      <c r="E33" s="1110"/>
      <c r="F33" s="1110"/>
      <c r="G33" s="1110"/>
      <c r="H33" s="1110"/>
      <c r="I33" s="1110"/>
      <c r="J33" s="1110"/>
    </row>
    <row r="36" spans="3:10" ht="12.75" customHeight="1"/>
    <row r="40" spans="3:10">
      <c r="C40" s="267"/>
    </row>
    <row r="41" spans="3:10">
      <c r="E41" s="267"/>
      <c r="F41" s="267"/>
      <c r="G41" s="267"/>
      <c r="H41" s="267"/>
      <c r="I41" s="267"/>
    </row>
    <row r="59" ht="12" customHeight="1"/>
  </sheetData>
  <mergeCells count="8">
    <mergeCell ref="A1:J1"/>
    <mergeCell ref="A2:J2"/>
    <mergeCell ref="I4:J4"/>
    <mergeCell ref="A4:A5"/>
    <mergeCell ref="C4:D4"/>
    <mergeCell ref="B4:B5"/>
    <mergeCell ref="G4:H4"/>
    <mergeCell ref="E4:F4"/>
  </mergeCells>
  <phoneticPr fontId="0" type="noConversion"/>
  <printOptions horizontalCentered="1"/>
  <pageMargins left="0.1" right="0.1" top="0.68" bottom="0.1" header="0.6" footer="0"/>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sheetPr codeName="Sheet9"/>
  <dimension ref="A1:I69"/>
  <sheetViews>
    <sheetView topLeftCell="B10" workbookViewId="0">
      <selection activeCell="M30" sqref="M30"/>
    </sheetView>
  </sheetViews>
  <sheetFormatPr defaultRowHeight="12.75"/>
  <cols>
    <col min="1" max="1" width="5.28515625" style="172" hidden="1" customWidth="1"/>
    <col min="2" max="2" width="16.7109375" style="172" customWidth="1"/>
    <col min="3" max="3" width="19.28515625" style="170" customWidth="1"/>
    <col min="4" max="4" width="14.7109375" style="170" customWidth="1"/>
    <col min="5" max="5" width="15.28515625" style="170" customWidth="1"/>
    <col min="6" max="6" width="17.140625" style="267" customWidth="1"/>
    <col min="7" max="7" width="17.140625" style="172" customWidth="1"/>
    <col min="8" max="16384" width="9.140625" style="172"/>
  </cols>
  <sheetData>
    <row r="1" spans="2:9" ht="12" customHeight="1">
      <c r="B1" s="1181" t="s">
        <v>1605</v>
      </c>
      <c r="C1" s="1181"/>
      <c r="D1" s="1181"/>
      <c r="E1" s="1181"/>
      <c r="F1" s="1181"/>
      <c r="G1" s="1181"/>
    </row>
    <row r="2" spans="2:9" s="206" customFormat="1" ht="13.5" customHeight="1">
      <c r="B2" s="1227" t="str">
        <f>CONCATENATE("Assembly and Parliamentary Constituencies in the district of ",District!$A$1)</f>
        <v>Assembly and Parliamentary Constituencies in the district of Bankura</v>
      </c>
      <c r="C2" s="1227"/>
      <c r="D2" s="1227"/>
      <c r="E2" s="1227"/>
      <c r="F2" s="1227"/>
      <c r="G2" s="1227"/>
    </row>
    <row r="3" spans="2:9" ht="12" customHeight="1">
      <c r="B3" s="259"/>
      <c r="C3" s="260"/>
      <c r="D3" s="260"/>
      <c r="E3" s="260"/>
      <c r="F3" s="260"/>
      <c r="G3" s="114" t="s">
        <v>452</v>
      </c>
    </row>
    <row r="4" spans="2:9" ht="15.75" customHeight="1">
      <c r="B4" s="1196" t="s">
        <v>304</v>
      </c>
      <c r="C4" s="1196" t="s">
        <v>473</v>
      </c>
      <c r="D4" s="1194" t="s">
        <v>741</v>
      </c>
      <c r="E4" s="1224" t="s">
        <v>742</v>
      </c>
      <c r="F4" s="1225"/>
      <c r="G4" s="1196" t="s">
        <v>439</v>
      </c>
    </row>
    <row r="5" spans="2:9" ht="24" customHeight="1">
      <c r="B5" s="1208"/>
      <c r="C5" s="1208"/>
      <c r="D5" s="1208"/>
      <c r="E5" s="207" t="s">
        <v>1163</v>
      </c>
      <c r="F5" s="261" t="s">
        <v>1249</v>
      </c>
      <c r="G5" s="1208"/>
    </row>
    <row r="6" spans="2:9" ht="15" customHeight="1">
      <c r="B6" s="221" t="s">
        <v>418</v>
      </c>
      <c r="C6" s="213" t="s">
        <v>419</v>
      </c>
      <c r="D6" s="213" t="s">
        <v>420</v>
      </c>
      <c r="E6" s="221" t="s">
        <v>421</v>
      </c>
      <c r="F6" s="213" t="s">
        <v>422</v>
      </c>
      <c r="G6" s="214" t="s">
        <v>423</v>
      </c>
    </row>
    <row r="7" spans="2:9" ht="18" customHeight="1">
      <c r="B7" s="1196">
        <v>2010</v>
      </c>
      <c r="C7" s="58" t="s">
        <v>474</v>
      </c>
      <c r="D7" s="223">
        <v>6</v>
      </c>
      <c r="E7" s="245">
        <v>4</v>
      </c>
      <c r="F7" s="223">
        <v>2</v>
      </c>
      <c r="G7" s="210">
        <f>SUM(D7:F7)</f>
        <v>12</v>
      </c>
      <c r="I7" s="2"/>
    </row>
    <row r="8" spans="2:9" ht="18" customHeight="1">
      <c r="B8" s="1197"/>
      <c r="C8" s="42" t="s">
        <v>475</v>
      </c>
      <c r="D8" s="248">
        <v>1</v>
      </c>
      <c r="E8" s="247">
        <v>1</v>
      </c>
      <c r="F8" s="35" t="s">
        <v>1127</v>
      </c>
      <c r="G8" s="42">
        <f>SUM(D8:F8)</f>
        <v>2</v>
      </c>
    </row>
    <row r="9" spans="2:9" ht="18" customHeight="1">
      <c r="B9" s="1196">
        <v>2011</v>
      </c>
      <c r="C9" s="39" t="s">
        <v>474</v>
      </c>
      <c r="D9" s="183">
        <v>6</v>
      </c>
      <c r="E9" s="246">
        <v>4</v>
      </c>
      <c r="F9" s="183">
        <v>2</v>
      </c>
      <c r="G9" s="39">
        <f>SUM(D9:F9)</f>
        <v>12</v>
      </c>
    </row>
    <row r="10" spans="2:9" ht="18" customHeight="1">
      <c r="B10" s="1197"/>
      <c r="C10" s="39" t="s">
        <v>475</v>
      </c>
      <c r="D10" s="183">
        <v>1</v>
      </c>
      <c r="E10" s="246">
        <v>1</v>
      </c>
      <c r="F10" s="34" t="s">
        <v>1127</v>
      </c>
      <c r="G10" s="39">
        <f>SUM(D10:F10)</f>
        <v>2</v>
      </c>
    </row>
    <row r="11" spans="2:9" ht="18" customHeight="1">
      <c r="B11" s="1196">
        <v>2012</v>
      </c>
      <c r="C11" s="210" t="s">
        <v>474</v>
      </c>
      <c r="D11" s="223">
        <v>6</v>
      </c>
      <c r="E11" s="245">
        <v>4</v>
      </c>
      <c r="F11" s="223">
        <v>2</v>
      </c>
      <c r="G11" s="210">
        <f t="shared" ref="G11:G16" si="0">SUM(D11:F11)</f>
        <v>12</v>
      </c>
    </row>
    <row r="12" spans="2:9" ht="18" customHeight="1">
      <c r="B12" s="1197"/>
      <c r="C12" s="41" t="s">
        <v>475</v>
      </c>
      <c r="D12" s="248">
        <v>1</v>
      </c>
      <c r="E12" s="247">
        <v>1</v>
      </c>
      <c r="F12" s="35" t="s">
        <v>1127</v>
      </c>
      <c r="G12" s="42">
        <f t="shared" si="0"/>
        <v>2</v>
      </c>
    </row>
    <row r="13" spans="2:9" ht="18" customHeight="1">
      <c r="B13" s="1228">
        <v>2013</v>
      </c>
      <c r="C13" s="39" t="s">
        <v>474</v>
      </c>
      <c r="D13" s="223">
        <v>6</v>
      </c>
      <c r="E13" s="245">
        <v>4</v>
      </c>
      <c r="F13" s="223">
        <v>2</v>
      </c>
      <c r="G13" s="210">
        <f t="shared" si="0"/>
        <v>12</v>
      </c>
    </row>
    <row r="14" spans="2:9" ht="18" customHeight="1">
      <c r="B14" s="1228"/>
      <c r="C14" s="42" t="s">
        <v>475</v>
      </c>
      <c r="D14" s="248">
        <v>1</v>
      </c>
      <c r="E14" s="247">
        <v>1</v>
      </c>
      <c r="F14" s="35" t="s">
        <v>1127</v>
      </c>
      <c r="G14" s="42">
        <f t="shared" si="0"/>
        <v>2</v>
      </c>
    </row>
    <row r="15" spans="2:9" ht="18" customHeight="1">
      <c r="B15" s="1228">
        <v>2014</v>
      </c>
      <c r="C15" s="39" t="s">
        <v>474</v>
      </c>
      <c r="D15" s="223">
        <v>6</v>
      </c>
      <c r="E15" s="245">
        <v>4</v>
      </c>
      <c r="F15" s="223">
        <v>2</v>
      </c>
      <c r="G15" s="210">
        <f t="shared" si="0"/>
        <v>12</v>
      </c>
    </row>
    <row r="16" spans="2:9" ht="18" customHeight="1">
      <c r="B16" s="1228"/>
      <c r="C16" s="42" t="s">
        <v>475</v>
      </c>
      <c r="D16" s="248">
        <v>1</v>
      </c>
      <c r="E16" s="247">
        <v>1</v>
      </c>
      <c r="F16" s="35" t="s">
        <v>1127</v>
      </c>
      <c r="G16" s="42">
        <f t="shared" si="0"/>
        <v>2</v>
      </c>
    </row>
    <row r="17" spans="2:7">
      <c r="C17" s="728"/>
      <c r="D17" s="728"/>
      <c r="E17" s="728"/>
      <c r="F17" s="728"/>
      <c r="G17" s="786" t="s">
        <v>481</v>
      </c>
    </row>
    <row r="18" spans="2:7">
      <c r="B18" s="113"/>
      <c r="C18" s="113"/>
      <c r="D18" s="113"/>
      <c r="E18" s="113"/>
      <c r="F18" s="113"/>
      <c r="G18" s="113"/>
    </row>
    <row r="19" spans="2:7">
      <c r="B19" s="1181" t="s">
        <v>22</v>
      </c>
      <c r="C19" s="1181"/>
      <c r="D19" s="1181"/>
      <c r="E19" s="1181"/>
      <c r="F19" s="1181"/>
      <c r="G19" s="1181"/>
    </row>
    <row r="20" spans="2:7" s="206" customFormat="1" ht="33.75" customHeight="1">
      <c r="B20" s="1226" t="str">
        <f>CONCATENATE("Number of Seats in Municipal Corporations, Municipalities and Panchayats 
in the district of ",District!$A$1)</f>
        <v>Number of Seats in Municipal Corporations, Municipalities and Panchayats 
in the district of Bankura</v>
      </c>
      <c r="C20" s="1226"/>
      <c r="D20" s="1226"/>
      <c r="E20" s="1226"/>
      <c r="F20" s="1226"/>
      <c r="G20" s="1226"/>
    </row>
    <row r="21" spans="2:7" ht="18.75" customHeight="1">
      <c r="B21" s="263" t="s">
        <v>304</v>
      </c>
      <c r="C21" s="263" t="s">
        <v>313</v>
      </c>
      <c r="D21" s="263" t="s">
        <v>317</v>
      </c>
      <c r="E21" s="263" t="s">
        <v>1367</v>
      </c>
      <c r="F21" s="263" t="s">
        <v>1657</v>
      </c>
      <c r="G21" s="263" t="s">
        <v>318</v>
      </c>
    </row>
    <row r="22" spans="2:7" ht="17.25" customHeight="1">
      <c r="B22" s="213" t="s">
        <v>418</v>
      </c>
      <c r="C22" s="213" t="s">
        <v>419</v>
      </c>
      <c r="D22" s="213" t="s">
        <v>420</v>
      </c>
      <c r="E22" s="213" t="s">
        <v>421</v>
      </c>
      <c r="F22" s="213" t="s">
        <v>422</v>
      </c>
      <c r="G22" s="264" t="s">
        <v>423</v>
      </c>
    </row>
    <row r="23" spans="2:7" ht="20.25" customHeight="1">
      <c r="B23" s="58">
        <f>District!C16</f>
        <v>2010</v>
      </c>
      <c r="C23" s="158" t="s">
        <v>1127</v>
      </c>
      <c r="D23" s="189">
        <v>57</v>
      </c>
      <c r="E23" s="223">
        <v>43</v>
      </c>
      <c r="F23" s="223">
        <v>496</v>
      </c>
      <c r="G23" s="223">
        <v>2179</v>
      </c>
    </row>
    <row r="24" spans="2:7" ht="20.25" customHeight="1">
      <c r="B24" s="33">
        <f>District!C17</f>
        <v>2011</v>
      </c>
      <c r="C24" s="28" t="s">
        <v>1127</v>
      </c>
      <c r="D24" s="189">
        <v>57</v>
      </c>
      <c r="E24" s="183">
        <v>43</v>
      </c>
      <c r="F24" s="183">
        <v>496</v>
      </c>
      <c r="G24" s="183">
        <v>2179</v>
      </c>
    </row>
    <row r="25" spans="2:7" ht="20.25" customHeight="1">
      <c r="B25" s="33">
        <f>District!C18</f>
        <v>2012</v>
      </c>
      <c r="C25" s="28" t="s">
        <v>1127</v>
      </c>
      <c r="D25" s="189">
        <v>57</v>
      </c>
      <c r="E25" s="183">
        <v>43</v>
      </c>
      <c r="F25" s="183">
        <v>496</v>
      </c>
      <c r="G25" s="183">
        <v>2179</v>
      </c>
    </row>
    <row r="26" spans="2:7" ht="20.25" customHeight="1">
      <c r="B26" s="33">
        <f>District!C19</f>
        <v>2013</v>
      </c>
      <c r="C26" s="28" t="s">
        <v>1127</v>
      </c>
      <c r="D26" s="189">
        <v>57</v>
      </c>
      <c r="E26" s="183">
        <v>46</v>
      </c>
      <c r="F26" s="183">
        <v>535</v>
      </c>
      <c r="G26" s="183">
        <v>2505</v>
      </c>
    </row>
    <row r="27" spans="2:7" ht="20.25" customHeight="1">
      <c r="B27" s="41">
        <f>District!C20</f>
        <v>2014</v>
      </c>
      <c r="C27" s="157" t="s">
        <v>1127</v>
      </c>
      <c r="D27" s="227">
        <v>57</v>
      </c>
      <c r="E27" s="248">
        <v>46</v>
      </c>
      <c r="F27" s="248">
        <v>535</v>
      </c>
      <c r="G27" s="248">
        <v>2505</v>
      </c>
    </row>
    <row r="28" spans="2:7">
      <c r="C28" s="172"/>
      <c r="D28" s="172"/>
      <c r="E28" s="718" t="s">
        <v>1028</v>
      </c>
      <c r="F28" s="720" t="s">
        <v>774</v>
      </c>
      <c r="G28" s="265"/>
    </row>
    <row r="29" spans="2:7">
      <c r="C29" s="172"/>
      <c r="D29" s="172"/>
      <c r="E29" s="516"/>
      <c r="F29" s="516" t="s">
        <v>775</v>
      </c>
      <c r="G29" s="266"/>
    </row>
    <row r="30" spans="2:7">
      <c r="C30" s="172"/>
      <c r="D30" s="172"/>
      <c r="E30" s="516"/>
      <c r="F30" s="516" t="s">
        <v>776</v>
      </c>
      <c r="G30" s="266"/>
    </row>
    <row r="49" spans="2:4">
      <c r="B49" s="268"/>
      <c r="C49" s="269"/>
      <c r="D49" s="269"/>
    </row>
    <row r="50" spans="2:4">
      <c r="B50" s="268"/>
      <c r="C50" s="269"/>
      <c r="D50" s="269"/>
    </row>
    <row r="51" spans="2:4">
      <c r="B51" s="268"/>
      <c r="C51" s="269"/>
      <c r="D51" s="269"/>
    </row>
    <row r="52" spans="2:4">
      <c r="B52" s="268"/>
      <c r="C52" s="269"/>
      <c r="D52" s="269"/>
    </row>
    <row r="53" spans="2:4">
      <c r="B53" s="268"/>
      <c r="C53" s="269"/>
      <c r="D53" s="269"/>
    </row>
    <row r="54" spans="2:4">
      <c r="B54" s="268"/>
      <c r="C54" s="269"/>
      <c r="D54" s="269"/>
    </row>
    <row r="55" spans="2:4">
      <c r="B55" s="268"/>
      <c r="C55" s="269"/>
      <c r="D55" s="269"/>
    </row>
    <row r="56" spans="2:4">
      <c r="B56" s="268"/>
      <c r="C56" s="269"/>
      <c r="D56" s="269"/>
    </row>
    <row r="57" spans="2:4">
      <c r="B57" s="268"/>
      <c r="C57" s="269"/>
      <c r="D57" s="269"/>
    </row>
    <row r="58" spans="2:4">
      <c r="B58" s="268"/>
      <c r="C58" s="269"/>
      <c r="D58" s="269"/>
    </row>
    <row r="59" spans="2:4">
      <c r="B59" s="268"/>
      <c r="C59" s="269"/>
      <c r="D59" s="269"/>
    </row>
    <row r="60" spans="2:4">
      <c r="B60" s="268"/>
      <c r="C60" s="269"/>
      <c r="D60" s="269"/>
    </row>
    <row r="61" spans="2:4">
      <c r="B61" s="268"/>
      <c r="C61" s="269"/>
      <c r="D61" s="269"/>
    </row>
    <row r="62" spans="2:4">
      <c r="B62" s="268"/>
      <c r="C62" s="269"/>
      <c r="D62" s="269"/>
    </row>
    <row r="63" spans="2:4">
      <c r="B63" s="268"/>
      <c r="C63" s="269"/>
      <c r="D63" s="269"/>
    </row>
    <row r="64" spans="2:4">
      <c r="B64" s="268"/>
      <c r="C64" s="269"/>
      <c r="D64" s="269"/>
    </row>
    <row r="65" spans="2:6">
      <c r="B65" s="268"/>
      <c r="C65" s="269"/>
      <c r="D65" s="269"/>
    </row>
    <row r="66" spans="2:6">
      <c r="B66" s="268"/>
      <c r="C66" s="269"/>
      <c r="D66" s="269"/>
    </row>
    <row r="67" spans="2:6">
      <c r="B67" s="268"/>
      <c r="C67" s="269"/>
      <c r="D67" s="269"/>
    </row>
    <row r="68" spans="2:6">
      <c r="B68" s="268"/>
      <c r="C68" s="269"/>
      <c r="D68" s="269"/>
    </row>
    <row r="69" spans="2:6" s="177" customFormat="1">
      <c r="B69" s="270"/>
      <c r="C69" s="271"/>
      <c r="D69" s="271"/>
      <c r="E69" s="272"/>
      <c r="F69" s="273"/>
    </row>
  </sheetData>
  <mergeCells count="14">
    <mergeCell ref="B1:G1"/>
    <mergeCell ref="E4:F4"/>
    <mergeCell ref="B20:G20"/>
    <mergeCell ref="B7:B8"/>
    <mergeCell ref="B9:B10"/>
    <mergeCell ref="B2:G2"/>
    <mergeCell ref="B19:G19"/>
    <mergeCell ref="B11:B12"/>
    <mergeCell ref="B13:B14"/>
    <mergeCell ref="B15:B16"/>
    <mergeCell ref="G4:G5"/>
    <mergeCell ref="B4:B5"/>
    <mergeCell ref="C4:C5"/>
    <mergeCell ref="D4:D5"/>
  </mergeCells>
  <phoneticPr fontId="0" type="noConversion"/>
  <printOptions horizontalCentered="1"/>
  <pageMargins left="0.1" right="0.1" top="0.61" bottom="0.1" header="0.48" footer="0.17"/>
  <pageSetup paperSize="9" orientation="landscape" r:id="rId1"/>
  <headerFooter alignWithMargins="0"/>
</worksheet>
</file>

<file path=xl/worksheets/sheet90.xml><?xml version="1.0" encoding="utf-8"?>
<worksheet xmlns="http://schemas.openxmlformats.org/spreadsheetml/2006/main" xmlns:r="http://schemas.openxmlformats.org/officeDocument/2006/relationships">
  <sheetPr codeName="Sheet80"/>
  <dimension ref="A1:E33"/>
  <sheetViews>
    <sheetView workbookViewId="0">
      <selection activeCell="L7" sqref="L7"/>
    </sheetView>
  </sheetViews>
  <sheetFormatPr defaultRowHeight="12.75"/>
  <cols>
    <col min="1" max="1" width="4.42578125" style="172" customWidth="1"/>
    <col min="2" max="2" width="23.42578125" style="172" customWidth="1"/>
    <col min="3" max="3" width="12" style="172" customWidth="1"/>
    <col min="4" max="4" width="19.7109375" style="172" customWidth="1"/>
    <col min="5" max="5" width="27" style="172" customWidth="1"/>
    <col min="6" max="16384" width="9.140625" style="172"/>
  </cols>
  <sheetData>
    <row r="1" spans="1:5" ht="15" customHeight="1">
      <c r="A1" s="1229" t="s">
        <v>1543</v>
      </c>
      <c r="B1" s="1229"/>
      <c r="C1" s="1229"/>
      <c r="D1" s="1229"/>
      <c r="E1" s="1229"/>
    </row>
    <row r="2" spans="1:5" s="206" customFormat="1" ht="19.5" customHeight="1">
      <c r="A2" s="1399" t="str">
        <f>CONCATENATE("Transport Facilities in the Blocks of ",District!$A$1,"  for the year ",District!B3)</f>
        <v>Transport Facilities in the Blocks of Bankura  for the year 2013-14</v>
      </c>
      <c r="B2" s="1399"/>
      <c r="C2" s="1399"/>
      <c r="D2" s="1399"/>
      <c r="E2" s="1399"/>
    </row>
    <row r="3" spans="1:5" ht="51.75" customHeight="1">
      <c r="A3" s="207" t="s">
        <v>494</v>
      </c>
      <c r="B3" s="207" t="s">
        <v>495</v>
      </c>
      <c r="C3" s="274" t="s">
        <v>1204</v>
      </c>
      <c r="D3" s="207" t="s">
        <v>613</v>
      </c>
      <c r="E3" s="207" t="s">
        <v>1306</v>
      </c>
    </row>
    <row r="4" spans="1:5" ht="14.25" customHeight="1">
      <c r="A4" s="213" t="s">
        <v>418</v>
      </c>
      <c r="B4" s="221" t="s">
        <v>419</v>
      </c>
      <c r="C4" s="221" t="s">
        <v>420</v>
      </c>
      <c r="D4" s="213" t="s">
        <v>421</v>
      </c>
      <c r="E4" s="213" t="s">
        <v>422</v>
      </c>
    </row>
    <row r="5" spans="1:5" ht="25.5" customHeight="1">
      <c r="A5" s="83" t="s">
        <v>942</v>
      </c>
      <c r="B5" s="76" t="s">
        <v>596</v>
      </c>
      <c r="C5" s="73" t="s">
        <v>1127</v>
      </c>
      <c r="D5" s="183">
        <v>6</v>
      </c>
      <c r="E5" s="183">
        <v>6</v>
      </c>
    </row>
    <row r="6" spans="1:5" ht="25.5" customHeight="1">
      <c r="A6" s="83" t="s">
        <v>943</v>
      </c>
      <c r="B6" s="76" t="s">
        <v>595</v>
      </c>
      <c r="C6" s="73" t="s">
        <v>1127</v>
      </c>
      <c r="D6" s="183">
        <v>7</v>
      </c>
      <c r="E6" s="183">
        <v>5</v>
      </c>
    </row>
    <row r="7" spans="1:5" ht="25.5" customHeight="1">
      <c r="A7" s="83" t="s">
        <v>944</v>
      </c>
      <c r="B7" s="76" t="s">
        <v>597</v>
      </c>
      <c r="C7" s="73" t="s">
        <v>1127</v>
      </c>
      <c r="D7" s="183">
        <v>9</v>
      </c>
      <c r="E7" s="183">
        <v>2</v>
      </c>
    </row>
    <row r="8" spans="1:5" ht="25.5" customHeight="1">
      <c r="A8" s="83" t="s">
        <v>945</v>
      </c>
      <c r="B8" s="76" t="s">
        <v>598</v>
      </c>
      <c r="C8" s="246">
        <v>4</v>
      </c>
      <c r="D8" s="183">
        <v>6</v>
      </c>
      <c r="E8" s="183">
        <v>15</v>
      </c>
    </row>
    <row r="9" spans="1:5" ht="25.5" customHeight="1">
      <c r="A9" s="83" t="s">
        <v>946</v>
      </c>
      <c r="B9" s="76" t="s">
        <v>599</v>
      </c>
      <c r="C9" s="246">
        <v>3</v>
      </c>
      <c r="D9" s="183">
        <v>7</v>
      </c>
      <c r="E9" s="183">
        <v>6</v>
      </c>
    </row>
    <row r="10" spans="1:5" ht="25.5" customHeight="1">
      <c r="A10" s="83" t="s">
        <v>947</v>
      </c>
      <c r="B10" s="76" t="s">
        <v>771</v>
      </c>
      <c r="C10" s="73" t="s">
        <v>1127</v>
      </c>
      <c r="D10" s="183">
        <v>9</v>
      </c>
      <c r="E10" s="183">
        <v>15</v>
      </c>
    </row>
    <row r="11" spans="1:5" ht="25.5" customHeight="1">
      <c r="A11" s="83" t="s">
        <v>948</v>
      </c>
      <c r="B11" s="76" t="s">
        <v>1390</v>
      </c>
      <c r="C11" s="73" t="s">
        <v>1127</v>
      </c>
      <c r="D11" s="183">
        <v>8</v>
      </c>
      <c r="E11" s="183">
        <v>6</v>
      </c>
    </row>
    <row r="12" spans="1:5" ht="25.5" customHeight="1">
      <c r="A12" s="83" t="s">
        <v>949</v>
      </c>
      <c r="B12" s="76" t="s">
        <v>602</v>
      </c>
      <c r="C12" s="246">
        <v>2</v>
      </c>
      <c r="D12" s="183">
        <v>7</v>
      </c>
      <c r="E12" s="183">
        <v>1</v>
      </c>
    </row>
    <row r="13" spans="1:5" ht="25.5" customHeight="1">
      <c r="A13" s="83" t="s">
        <v>1344</v>
      </c>
      <c r="B13" s="76" t="s">
        <v>605</v>
      </c>
      <c r="C13" s="73" t="s">
        <v>1127</v>
      </c>
      <c r="D13" s="183">
        <v>7</v>
      </c>
      <c r="E13" s="183">
        <v>15</v>
      </c>
    </row>
    <row r="14" spans="1:5" ht="25.5" customHeight="1">
      <c r="A14" s="83" t="s">
        <v>1345</v>
      </c>
      <c r="B14" s="76" t="s">
        <v>604</v>
      </c>
      <c r="C14" s="73" t="s">
        <v>1127</v>
      </c>
      <c r="D14" s="183">
        <v>7</v>
      </c>
      <c r="E14" s="183">
        <v>45</v>
      </c>
    </row>
    <row r="15" spans="1:5" ht="25.5" customHeight="1">
      <c r="A15" s="83" t="s">
        <v>1346</v>
      </c>
      <c r="B15" s="76" t="s">
        <v>63</v>
      </c>
      <c r="C15" s="73" t="s">
        <v>1127</v>
      </c>
      <c r="D15" s="183">
        <v>6</v>
      </c>
      <c r="E15" s="183">
        <v>45</v>
      </c>
    </row>
    <row r="16" spans="1:5" ht="25.5" customHeight="1">
      <c r="A16" s="83" t="s">
        <v>50</v>
      </c>
      <c r="B16" s="76" t="s">
        <v>606</v>
      </c>
      <c r="C16" s="246">
        <v>1</v>
      </c>
      <c r="D16" s="183">
        <v>7</v>
      </c>
      <c r="E16" s="183">
        <v>60</v>
      </c>
    </row>
    <row r="17" spans="1:5" ht="25.5" customHeight="1">
      <c r="A17" s="83" t="s">
        <v>51</v>
      </c>
      <c r="B17" s="76" t="s">
        <v>347</v>
      </c>
      <c r="C17" s="73" t="s">
        <v>1127</v>
      </c>
      <c r="D17" s="183">
        <v>10</v>
      </c>
      <c r="E17" s="183">
        <v>25</v>
      </c>
    </row>
    <row r="18" spans="1:5" ht="25.5" customHeight="1">
      <c r="A18" s="83" t="s">
        <v>52</v>
      </c>
      <c r="B18" s="76" t="s">
        <v>369</v>
      </c>
      <c r="C18" s="73" t="s">
        <v>1127</v>
      </c>
      <c r="D18" s="183">
        <v>10</v>
      </c>
      <c r="E18" s="183">
        <v>42</v>
      </c>
    </row>
    <row r="19" spans="1:5" ht="25.5" customHeight="1">
      <c r="A19" s="83" t="s">
        <v>53</v>
      </c>
      <c r="B19" s="76" t="s">
        <v>349</v>
      </c>
      <c r="C19" s="73" t="s">
        <v>1127</v>
      </c>
      <c r="D19" s="183">
        <v>11</v>
      </c>
      <c r="E19" s="183">
        <v>65</v>
      </c>
    </row>
    <row r="20" spans="1:5" ht="25.5" customHeight="1">
      <c r="A20" s="83" t="s">
        <v>54</v>
      </c>
      <c r="B20" s="76" t="s">
        <v>370</v>
      </c>
      <c r="C20" s="246" t="s">
        <v>1127</v>
      </c>
      <c r="D20" s="183">
        <v>6</v>
      </c>
      <c r="E20" s="183">
        <v>38</v>
      </c>
    </row>
    <row r="21" spans="1:5" ht="25.5" customHeight="1">
      <c r="A21" s="83" t="s">
        <v>55</v>
      </c>
      <c r="B21" s="76" t="s">
        <v>350</v>
      </c>
      <c r="C21" s="246">
        <v>2</v>
      </c>
      <c r="D21" s="183">
        <v>11</v>
      </c>
      <c r="E21" s="183">
        <v>1</v>
      </c>
    </row>
    <row r="22" spans="1:5" ht="25.5" customHeight="1">
      <c r="A22" s="83" t="s">
        <v>56</v>
      </c>
      <c r="B22" s="76" t="s">
        <v>351</v>
      </c>
      <c r="C22" s="246">
        <v>2</v>
      </c>
      <c r="D22" s="183">
        <v>6</v>
      </c>
      <c r="E22" s="183">
        <v>1</v>
      </c>
    </row>
    <row r="23" spans="1:5" ht="25.5" customHeight="1">
      <c r="A23" s="83" t="s">
        <v>57</v>
      </c>
      <c r="B23" s="76" t="s">
        <v>352</v>
      </c>
      <c r="C23" s="246">
        <v>4</v>
      </c>
      <c r="D23" s="183">
        <v>11</v>
      </c>
      <c r="E23" s="183">
        <v>13</v>
      </c>
    </row>
    <row r="24" spans="1:5" ht="25.5" customHeight="1">
      <c r="A24" s="83" t="s">
        <v>58</v>
      </c>
      <c r="B24" s="76" t="s">
        <v>353</v>
      </c>
      <c r="C24" s="246">
        <v>4</v>
      </c>
      <c r="D24" s="183">
        <v>10</v>
      </c>
      <c r="E24" s="183">
        <v>1</v>
      </c>
    </row>
    <row r="25" spans="1:5" ht="25.5" customHeight="1">
      <c r="A25" s="83" t="s">
        <v>59</v>
      </c>
      <c r="B25" s="76" t="s">
        <v>354</v>
      </c>
      <c r="C25" s="246">
        <v>2</v>
      </c>
      <c r="D25" s="183">
        <v>11</v>
      </c>
      <c r="E25" s="281">
        <v>1.5</v>
      </c>
    </row>
    <row r="26" spans="1:5" ht="25.5" customHeight="1">
      <c r="A26" s="181" t="s">
        <v>60</v>
      </c>
      <c r="B26" s="568" t="s">
        <v>1126</v>
      </c>
      <c r="C26" s="247">
        <v>2</v>
      </c>
      <c r="D26" s="248">
        <v>6</v>
      </c>
      <c r="E26" s="283">
        <v>2.5</v>
      </c>
    </row>
    <row r="27" spans="1:5" ht="15.95" customHeight="1">
      <c r="A27" s="266"/>
      <c r="B27" s="266"/>
      <c r="C27" s="266"/>
      <c r="D27" s="266"/>
      <c r="E27" s="718" t="s">
        <v>1307</v>
      </c>
    </row>
    <row r="30" spans="1:5" ht="23.25">
      <c r="A30" s="1595" t="s">
        <v>651</v>
      </c>
      <c r="B30" s="1595"/>
      <c r="C30" s="1595"/>
      <c r="D30" s="1595"/>
      <c r="E30" s="1595"/>
    </row>
    <row r="33" ht="14.25" customHeight="1"/>
  </sheetData>
  <mergeCells count="3">
    <mergeCell ref="A30:E30"/>
    <mergeCell ref="A1:E1"/>
    <mergeCell ref="A2:E2"/>
  </mergeCells>
  <phoneticPr fontId="0" type="noConversion"/>
  <printOptions horizontalCentered="1"/>
  <pageMargins left="0.17" right="0.1" top="0.8" bottom="0.1" header="0.8" footer="0.1"/>
  <pageSetup paperSize="9" orientation="portrait" r:id="rId1"/>
  <headerFooter alignWithMargins="0"/>
</worksheet>
</file>

<file path=xl/worksheets/sheet91.xml><?xml version="1.0" encoding="utf-8"?>
<worksheet xmlns="http://schemas.openxmlformats.org/spreadsheetml/2006/main" xmlns:r="http://schemas.openxmlformats.org/officeDocument/2006/relationships">
  <sheetPr codeName="Sheet1"/>
  <dimension ref="A1:K20"/>
  <sheetViews>
    <sheetView workbookViewId="0">
      <selection activeCell="B18" sqref="B18"/>
    </sheetView>
  </sheetViews>
  <sheetFormatPr defaultRowHeight="12.75"/>
  <cols>
    <col min="1" max="1" width="33.140625" customWidth="1"/>
  </cols>
  <sheetData>
    <row r="1" spans="1:11" ht="18">
      <c r="A1" s="32" t="s">
        <v>1188</v>
      </c>
    </row>
    <row r="2" spans="1:11" ht="18">
      <c r="B2" s="31" t="s">
        <v>1626</v>
      </c>
    </row>
    <row r="3" spans="1:11" ht="18">
      <c r="A3" s="30" t="s">
        <v>12</v>
      </c>
      <c r="B3" s="30" t="s">
        <v>1094</v>
      </c>
    </row>
    <row r="4" spans="1:11" ht="18">
      <c r="A4" s="30" t="s">
        <v>13</v>
      </c>
      <c r="B4" s="31">
        <v>2011</v>
      </c>
    </row>
    <row r="5" spans="1:11" ht="18">
      <c r="A5" s="30" t="s">
        <v>1660</v>
      </c>
      <c r="B5" s="79">
        <v>2014</v>
      </c>
    </row>
    <row r="6" spans="1:11" ht="18">
      <c r="A6" s="834" t="s">
        <v>1627</v>
      </c>
      <c r="B6" s="30">
        <v>2014</v>
      </c>
    </row>
    <row r="7" spans="1:11" ht="18">
      <c r="A7" s="30" t="s">
        <v>984</v>
      </c>
      <c r="B7">
        <v>2001</v>
      </c>
    </row>
    <row r="10" spans="1:11" ht="18">
      <c r="A10" s="30" t="s">
        <v>1095</v>
      </c>
      <c r="B10">
        <v>2010</v>
      </c>
      <c r="C10">
        <v>2011</v>
      </c>
      <c r="D10">
        <v>2012</v>
      </c>
      <c r="E10">
        <v>2013</v>
      </c>
      <c r="F10">
        <v>2014</v>
      </c>
    </row>
    <row r="11" spans="1:11">
      <c r="B11" t="s">
        <v>1379</v>
      </c>
      <c r="C11" t="s">
        <v>269</v>
      </c>
      <c r="D11" t="s">
        <v>983</v>
      </c>
      <c r="E11" t="s">
        <v>152</v>
      </c>
      <c r="F11" t="s">
        <v>1094</v>
      </c>
    </row>
    <row r="13" spans="1:11">
      <c r="B13" s="1596">
        <v>2010</v>
      </c>
      <c r="C13" s="1596"/>
      <c r="D13" s="1596">
        <v>2011</v>
      </c>
      <c r="E13" s="1596"/>
      <c r="F13" s="1596">
        <v>2012</v>
      </c>
      <c r="G13" s="1596"/>
      <c r="H13" s="1596">
        <v>2013</v>
      </c>
      <c r="I13" s="1596"/>
      <c r="J13" s="1596">
        <v>2014</v>
      </c>
      <c r="K13" s="1596"/>
    </row>
    <row r="14" spans="1:11">
      <c r="B14" s="1596" t="s">
        <v>1379</v>
      </c>
      <c r="C14" s="1596"/>
      <c r="D14" s="1596" t="s">
        <v>269</v>
      </c>
      <c r="E14" s="1596"/>
      <c r="F14" s="1596" t="s">
        <v>983</v>
      </c>
      <c r="G14" s="1596"/>
      <c r="H14" s="1596" t="s">
        <v>152</v>
      </c>
      <c r="I14" s="1596"/>
      <c r="J14" s="1596" t="s">
        <v>1094</v>
      </c>
      <c r="K14" s="1596"/>
    </row>
    <row r="16" spans="1:11">
      <c r="B16" t="s">
        <v>1379</v>
      </c>
      <c r="C16" s="952">
        <v>2010</v>
      </c>
    </row>
    <row r="17" spans="2:3">
      <c r="B17" t="s">
        <v>269</v>
      </c>
      <c r="C17" s="952">
        <v>2011</v>
      </c>
    </row>
    <row r="18" spans="2:3">
      <c r="B18" t="s">
        <v>983</v>
      </c>
      <c r="C18" s="952">
        <v>2012</v>
      </c>
    </row>
    <row r="19" spans="2:3">
      <c r="B19" t="s">
        <v>152</v>
      </c>
      <c r="C19" s="50">
        <v>2013</v>
      </c>
    </row>
    <row r="20" spans="2:3">
      <c r="B20" t="s">
        <v>1094</v>
      </c>
      <c r="C20" s="50">
        <v>2014</v>
      </c>
    </row>
  </sheetData>
  <mergeCells count="10">
    <mergeCell ref="J13:K13"/>
    <mergeCell ref="B14:C14"/>
    <mergeCell ref="D14:E14"/>
    <mergeCell ref="F14:G14"/>
    <mergeCell ref="H14:I14"/>
    <mergeCell ref="J14:K14"/>
    <mergeCell ref="B13:C13"/>
    <mergeCell ref="D13:E13"/>
    <mergeCell ref="F13:G13"/>
    <mergeCell ref="H13:I13"/>
  </mergeCells>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91</vt:i4>
      </vt:variant>
      <vt:variant>
        <vt:lpstr>Named Ranges</vt:lpstr>
      </vt:variant>
      <vt:variant>
        <vt:i4>7</vt:i4>
      </vt:variant>
    </vt:vector>
  </HeadingPairs>
  <TitlesOfParts>
    <vt:vector size="98" baseType="lpstr">
      <vt:lpstr>Map</vt:lpstr>
      <vt:lpstr>Cover Page</vt:lpstr>
      <vt:lpstr>PREFACE</vt:lpstr>
      <vt:lpstr>Contents</vt:lpstr>
      <vt:lpstr>At a glance</vt:lpstr>
      <vt:lpstr>1.1,1.2</vt:lpstr>
      <vt:lpstr>1.3,1.4</vt:lpstr>
      <vt:lpstr>2.1</vt:lpstr>
      <vt:lpstr>2.1a,2.1b</vt:lpstr>
      <vt:lpstr>2.2</vt:lpstr>
      <vt:lpstr>2.3</vt:lpstr>
      <vt:lpstr>2.4a</vt:lpstr>
      <vt:lpstr>2.4b</vt:lpstr>
      <vt:lpstr>2.5a</vt:lpstr>
      <vt:lpstr>2.5b</vt:lpstr>
      <vt:lpstr>2.6</vt:lpstr>
      <vt:lpstr>2.7</vt:lpstr>
      <vt:lpstr>2.8</vt:lpstr>
      <vt:lpstr>2.9,2.10</vt:lpstr>
      <vt:lpstr>2.10a</vt:lpstr>
      <vt:lpstr>2.11</vt:lpstr>
      <vt:lpstr>3.1</vt:lpstr>
      <vt:lpstr>3.2</vt:lpstr>
      <vt:lpstr>3.2a</vt:lpstr>
      <vt:lpstr>3.3</vt:lpstr>
      <vt:lpstr>3.3a</vt:lpstr>
      <vt:lpstr>4.1a</vt:lpstr>
      <vt:lpstr>4.1b</vt:lpstr>
      <vt:lpstr>4.1c</vt:lpstr>
      <vt:lpstr>4.2a</vt:lpstr>
      <vt:lpstr>4.2b</vt:lpstr>
      <vt:lpstr>4.2c</vt:lpstr>
      <vt:lpstr>4.3a</vt:lpstr>
      <vt:lpstr>4.3b</vt:lpstr>
      <vt:lpstr>4.3c</vt:lpstr>
      <vt:lpstr>4.4</vt:lpstr>
      <vt:lpstr>4.5</vt:lpstr>
      <vt:lpstr>4.6</vt:lpstr>
      <vt:lpstr>4.7</vt:lpstr>
      <vt:lpstr>4.8</vt:lpstr>
      <vt:lpstr>5.1 ,5.1a</vt:lpstr>
      <vt:lpstr>5.1b,5.2</vt:lpstr>
      <vt:lpstr>5.3</vt:lpstr>
      <vt:lpstr>5.3a</vt:lpstr>
      <vt:lpstr>5.3b,5.3c</vt:lpstr>
      <vt:lpstr>5.3d</vt:lpstr>
      <vt:lpstr>5.3e</vt:lpstr>
      <vt:lpstr>5.4</vt:lpstr>
      <vt:lpstr>5.5,5.5a</vt:lpstr>
      <vt:lpstr>5.6,5.7,5.8</vt:lpstr>
      <vt:lpstr>6.1</vt:lpstr>
      <vt:lpstr>6.2</vt:lpstr>
      <vt:lpstr>7.1</vt:lpstr>
      <vt:lpstr>7.2,7.3</vt:lpstr>
      <vt:lpstr>8.1,8.2</vt:lpstr>
      <vt:lpstr>8.1,8.2_NR</vt:lpstr>
      <vt:lpstr>8.2a</vt:lpstr>
      <vt:lpstr>8.3</vt:lpstr>
      <vt:lpstr>8.4,8.4a</vt:lpstr>
      <vt:lpstr>9.1_NR</vt:lpstr>
      <vt:lpstr>9.1</vt:lpstr>
      <vt:lpstr>9.2,9.2a,9.2b</vt:lpstr>
      <vt:lpstr>10.1,10.2</vt:lpstr>
      <vt:lpstr>10.3</vt:lpstr>
      <vt:lpstr>11.1</vt:lpstr>
      <vt:lpstr>11.1a,11.2</vt:lpstr>
      <vt:lpstr>11.3,11.4</vt:lpstr>
      <vt:lpstr>12.1,12.2</vt:lpstr>
      <vt:lpstr>12.3,12.4</vt:lpstr>
      <vt:lpstr>12.5,12.6,12.7</vt:lpstr>
      <vt:lpstr>13.1</vt:lpstr>
      <vt:lpstr>13.2,13.3</vt:lpstr>
      <vt:lpstr>14.1,14.2</vt:lpstr>
      <vt:lpstr>15.1</vt:lpstr>
      <vt:lpstr>15.2</vt:lpstr>
      <vt:lpstr>Block_Level_NR</vt:lpstr>
      <vt:lpstr>Block_Level</vt:lpstr>
      <vt:lpstr>16.1</vt:lpstr>
      <vt:lpstr>17.1</vt:lpstr>
      <vt:lpstr>17.1_NR</vt:lpstr>
      <vt:lpstr>17.2</vt:lpstr>
      <vt:lpstr>18.1</vt:lpstr>
      <vt:lpstr>18.2</vt:lpstr>
      <vt:lpstr>18.3</vt:lpstr>
      <vt:lpstr>19.1</vt:lpstr>
      <vt:lpstr>19.1_nr</vt:lpstr>
      <vt:lpstr>20.1</vt:lpstr>
      <vt:lpstr>20.2</vt:lpstr>
      <vt:lpstr>21.1</vt:lpstr>
      <vt:lpstr>21.2</vt:lpstr>
      <vt:lpstr>District</vt:lpstr>
      <vt:lpstr>'15.2'!Print_Area</vt:lpstr>
      <vt:lpstr>'18.2'!Print_Titles</vt:lpstr>
      <vt:lpstr>'2.1'!Print_Titles</vt:lpstr>
      <vt:lpstr>'2.4b'!Print_Titles</vt:lpstr>
      <vt:lpstr>'2.7'!Print_Titles</vt:lpstr>
      <vt:lpstr>'4.7'!Print_Titles</vt:lpstr>
      <vt:lpstr>'6.2'!Print_Titles</vt:lpstr>
    </vt:vector>
  </TitlesOfParts>
  <Company>HCL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NEWUSER</dc:creator>
  <cp:lastModifiedBy>BAES</cp:lastModifiedBy>
  <cp:lastPrinted>2016-05-27T09:41:36Z</cp:lastPrinted>
  <dcterms:created xsi:type="dcterms:W3CDTF">2007-01-18T06:47:54Z</dcterms:created>
  <dcterms:modified xsi:type="dcterms:W3CDTF">2016-06-23T07:26:18Z</dcterms:modified>
</cp:coreProperties>
</file>