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mbeddings/oleObject1.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wmf" ContentType="image/x-wmf"/>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externalLinks/externalLink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0245" yWindow="-15" windowWidth="10290" windowHeight="7485" tabRatio="841"/>
  </bookViews>
  <sheets>
    <sheet name="MAP" sheetId="116" r:id="rId1"/>
    <sheet name="Cover Page" sheetId="121" r:id="rId2"/>
    <sheet name="PREFACE" sheetId="123" r:id="rId3"/>
    <sheet name="Contents" sheetId="109" r:id="rId4"/>
    <sheet name="At a glance" sheetId="1" r:id="rId5"/>
    <sheet name="1.1,1.2" sheetId="2" r:id="rId6"/>
    <sheet name="1.3,1.4" sheetId="4" r:id="rId7"/>
    <sheet name="2.1" sheetId="6" r:id="rId8"/>
    <sheet name="2.1a,2.1b" sheetId="7" r:id="rId9"/>
    <sheet name="2.2" sheetId="9" r:id="rId10"/>
    <sheet name="2.3 " sheetId="138" r:id="rId11"/>
    <sheet name="2.4a" sheetId="112" r:id="rId12"/>
    <sheet name="2.4b" sheetId="141" r:id="rId13"/>
    <sheet name="2.5a" sheetId="15" r:id="rId14"/>
    <sheet name="2.5b" sheetId="142" r:id="rId15"/>
    <sheet name="2.6 " sheetId="139" r:id="rId16"/>
    <sheet name="2.7" sheetId="145" r:id="rId17"/>
    <sheet name="2.8" sheetId="147" r:id="rId18"/>
    <sheet name="2.9" sheetId="149" r:id="rId19"/>
    <sheet name="2.10" sheetId="20" r:id="rId20"/>
    <sheet name="2.10a" sheetId="127" r:id="rId21"/>
    <sheet name="2.11" sheetId="150" r:id="rId22"/>
    <sheet name="3.1" sheetId="23" r:id="rId23"/>
    <sheet name="3.2" sheetId="24" r:id="rId24"/>
    <sheet name="3.2a" sheetId="25" r:id="rId25"/>
    <sheet name="3.3" sheetId="26" r:id="rId26"/>
    <sheet name="3.3a" sheetId="124" r:id="rId27"/>
    <sheet name="4.1a" sheetId="27" r:id="rId28"/>
    <sheet name="4.1b" sheetId="28" r:id="rId29"/>
    <sheet name="4.1c" sheetId="29" r:id="rId30"/>
    <sheet name="4.2a" sheetId="30" r:id="rId31"/>
    <sheet name="4.2b" sheetId="31" r:id="rId32"/>
    <sheet name="4.2c" sheetId="32" r:id="rId33"/>
    <sheet name="4.3a" sheetId="33" r:id="rId34"/>
    <sheet name="4.3b" sheetId="34" r:id="rId35"/>
    <sheet name="4.3c" sheetId="35" r:id="rId36"/>
    <sheet name="4.4" sheetId="37" r:id="rId37"/>
    <sheet name="4.5" sheetId="38" r:id="rId38"/>
    <sheet name="4.6" sheetId="39" r:id="rId39"/>
    <sheet name="4.7" sheetId="40" r:id="rId40"/>
    <sheet name="4.8" sheetId="42" r:id="rId41"/>
    <sheet name="5.1,5.1a" sheetId="83" r:id="rId42"/>
    <sheet name="5.1b,5.2" sheetId="46" r:id="rId43"/>
    <sheet name="5.3" sheetId="114" r:id="rId44"/>
    <sheet name="5.3a" sheetId="49" r:id="rId45"/>
    <sheet name="5.3b,5.3c" sheetId="50" r:id="rId46"/>
    <sheet name="5.3d" sheetId="51" r:id="rId47"/>
    <sheet name="5.3e" sheetId="52" r:id="rId48"/>
    <sheet name="5.4" sheetId="53" r:id="rId49"/>
    <sheet name="5.5,5.5a" sheetId="54" r:id="rId50"/>
    <sheet name="5.6,5.7,5.8" sheetId="56" r:id="rId51"/>
    <sheet name="6.1" sheetId="59" r:id="rId52"/>
    <sheet name="6.2" sheetId="60" r:id="rId53"/>
    <sheet name="7.1" sheetId="61" r:id="rId54"/>
    <sheet name="7.2,7.3" sheetId="62" r:id="rId55"/>
    <sheet name="8.1" sheetId="129" r:id="rId56"/>
    <sheet name="8.1_NR" sheetId="65" state="hidden" r:id="rId57"/>
    <sheet name="8.2" sheetId="130" r:id="rId58"/>
    <sheet name="8.2a" sheetId="67" r:id="rId59"/>
    <sheet name="8.3" sheetId="157" r:id="rId60"/>
    <sheet name="8.4" sheetId="69" r:id="rId61"/>
    <sheet name="9.1" sheetId="131" r:id="rId62"/>
    <sheet name="9.1_NR" sheetId="71" state="hidden" r:id="rId63"/>
    <sheet name="9.2,9.2a,9.2b" sheetId="128" r:id="rId64"/>
    <sheet name="10.1,10.2" sheetId="75" r:id="rId65"/>
    <sheet name="10.3" sheetId="77" r:id="rId66"/>
    <sheet name="11.1" sheetId="85" r:id="rId67"/>
    <sheet name="11.1a,11.2" sheetId="86" r:id="rId68"/>
    <sheet name="11.3,11.4" sheetId="88" r:id="rId69"/>
    <sheet name="12.1,12.2" sheetId="90" r:id="rId70"/>
    <sheet name="12.3,12.4" sheetId="93" r:id="rId71"/>
    <sheet name="12.5,12.6,12.7" sheetId="94" r:id="rId72"/>
    <sheet name="13.1" sheetId="78" r:id="rId73"/>
    <sheet name="13.2,13.3" sheetId="79" r:id="rId74"/>
    <sheet name="14.1,14.2" sheetId="81" r:id="rId75"/>
    <sheet name="15.1" sheetId="43" r:id="rId76"/>
    <sheet name="15.2" sheetId="84" r:id="rId77"/>
    <sheet name="Block_Level" sheetId="136" r:id="rId78"/>
    <sheet name="Block_Level_NR" sheetId="126" state="hidden" r:id="rId79"/>
    <sheet name="16.1" sheetId="98" r:id="rId80"/>
    <sheet name="17.1" sheetId="133" r:id="rId81"/>
    <sheet name="17.1_NR" sheetId="99" state="hidden" r:id="rId82"/>
    <sheet name="17.2" sheetId="100" r:id="rId83"/>
    <sheet name="18.1" sheetId="152" r:id="rId84"/>
    <sheet name="18.2" sheetId="102" r:id="rId85"/>
    <sheet name="18.3" sheetId="158" r:id="rId86"/>
    <sheet name="19.1" sheetId="104" r:id="rId87"/>
    <sheet name="20.1" sheetId="105" r:id="rId88"/>
    <sheet name="20.2" sheetId="106" r:id="rId89"/>
    <sheet name="21.1" sheetId="107" r:id="rId90"/>
    <sheet name="21.2" sheetId="108" r:id="rId91"/>
    <sheet name="District" sheetId="12"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xlnm._FilterDatabase" localSheetId="15" hidden="1">'2.6 '!$A$8:$G$37</definedName>
    <definedName name="_xlnm.Print_Area" localSheetId="84">'18.2'!$A$1:$R$35</definedName>
    <definedName name="_xlnm.Print_Area" localSheetId="22">'3.1'!$A$1:$L$59</definedName>
    <definedName name="_xlnm.Print_Area" localSheetId="30">'4.2a'!$A$1:$N$39</definedName>
    <definedName name="_xlnm.Print_Area" localSheetId="0">MAP!$A$1:$J$58</definedName>
    <definedName name="_xlnm.Print_Titles" localSheetId="76">'15.2'!$11:$11</definedName>
    <definedName name="_xlnm.Print_Titles" localSheetId="84">'18.2'!$3:$6</definedName>
    <definedName name="_xlnm.Print_Titles" localSheetId="7">'2.1'!$3:$7</definedName>
    <definedName name="_xlnm.Print_Titles" localSheetId="9">'2.2'!$3:$4</definedName>
    <definedName name="_xlnm.Print_Titles" localSheetId="11">'2.4a'!$3:$6</definedName>
    <definedName name="_xlnm.Print_Titles" localSheetId="12">'2.4b'!$3:$6</definedName>
    <definedName name="Table2.1" localSheetId="83">'[1]2.11'!#REF!</definedName>
    <definedName name="Table2.1" localSheetId="85">'[2]2.11'!#REF!</definedName>
    <definedName name="Table2.1" localSheetId="55">'[3]2.11'!#REF!</definedName>
    <definedName name="Table2.1" localSheetId="59">'[4]2.11'!#REF!</definedName>
    <definedName name="Table2.1" localSheetId="61">'[3]2.11'!#REF!</definedName>
    <definedName name="Table2.1" localSheetId="77">'[5]2.11'!#REF!</definedName>
    <definedName name="Table2.1">'[6]2.11'!#REF!</definedName>
    <definedName name="Table2.10" localSheetId="85">#REF!</definedName>
    <definedName name="Table2.10" localSheetId="59">#REF!</definedName>
    <definedName name="Table2.10">#REF!</definedName>
    <definedName name="Table2.10a" localSheetId="83">'[1]2.11'!#REF!</definedName>
    <definedName name="Table2.10a" localSheetId="85">'[2]2.11'!#REF!</definedName>
    <definedName name="Table2.10a" localSheetId="55">'[3]2.11'!#REF!</definedName>
    <definedName name="Table2.10a" localSheetId="59">'[4]2.11'!#REF!</definedName>
    <definedName name="Table2.10a" localSheetId="61">'[3]2.11'!#REF!</definedName>
    <definedName name="Table2.10a" localSheetId="77">'[5]2.11'!#REF!</definedName>
    <definedName name="Table2.10a">'[6]2.11'!#REF!</definedName>
    <definedName name="Table2.2" localSheetId="85">#REF!</definedName>
    <definedName name="Table2.2" localSheetId="59">#REF!</definedName>
    <definedName name="Table2.2">#REF!</definedName>
    <definedName name="xx" localSheetId="83">'[7]2.11'!#REF!</definedName>
    <definedName name="xx" localSheetId="85">'[8]2.11'!#REF!</definedName>
    <definedName name="xx" localSheetId="59">'[9]2.11'!#REF!</definedName>
    <definedName name="xx">'[5]2.11'!#REF!</definedName>
    <definedName name="yy" localSheetId="83">'[7]2.11'!#REF!</definedName>
    <definedName name="yy" localSheetId="85">'[8]2.11'!#REF!</definedName>
    <definedName name="yy" localSheetId="59">'[9]2.11'!#REF!</definedName>
    <definedName name="yy">'[5]2.11'!#REF!</definedName>
  </definedNames>
  <calcPr calcId="124519"/>
</workbook>
</file>

<file path=xl/calcChain.xml><?xml version="1.0" encoding="utf-8"?>
<calcChain xmlns="http://schemas.openxmlformats.org/spreadsheetml/2006/main">
  <c r="D10" i="83"/>
  <c r="D9"/>
  <c r="D8"/>
  <c r="D7"/>
  <c r="D6"/>
  <c r="A2" i="158"/>
  <c r="R11" i="62" l="1"/>
  <c r="R10"/>
  <c r="R9"/>
  <c r="R8"/>
  <c r="B62" i="1"/>
  <c r="K22" i="157" l="1"/>
  <c r="J22"/>
  <c r="I22"/>
  <c r="H22"/>
  <c r="G22"/>
  <c r="F22"/>
  <c r="E22"/>
  <c r="D22"/>
  <c r="C22"/>
  <c r="B22"/>
  <c r="H20" i="128"/>
  <c r="G20"/>
  <c r="D20"/>
  <c r="C20"/>
  <c r="H9"/>
  <c r="G9"/>
  <c r="D9"/>
  <c r="C9"/>
  <c r="G21" i="59"/>
  <c r="F11" i="90"/>
  <c r="M26"/>
  <c r="E18" i="88"/>
  <c r="D18"/>
  <c r="C18"/>
  <c r="B18"/>
  <c r="Q11" i="62"/>
  <c r="P11"/>
  <c r="O11"/>
  <c r="N11"/>
  <c r="M11"/>
  <c r="I11"/>
  <c r="E11"/>
  <c r="K30" i="51"/>
  <c r="F30"/>
  <c r="K18"/>
  <c r="F18"/>
  <c r="F38" i="114"/>
  <c r="E38"/>
  <c r="D38"/>
  <c r="C38"/>
  <c r="F30"/>
  <c r="E30"/>
  <c r="D30"/>
  <c r="C30"/>
  <c r="F25"/>
  <c r="E25"/>
  <c r="D25"/>
  <c r="C25"/>
  <c r="F19"/>
  <c r="E19"/>
  <c r="D19"/>
  <c r="C19"/>
  <c r="F7"/>
  <c r="F15" s="1"/>
  <c r="F20" s="1"/>
  <c r="E7"/>
  <c r="E15" s="1"/>
  <c r="E20" s="1"/>
  <c r="D7"/>
  <c r="D15" s="1"/>
  <c r="D20" s="1"/>
  <c r="C7"/>
  <c r="C15" s="1"/>
  <c r="C20" s="1"/>
  <c r="F50" i="46"/>
  <c r="E50"/>
  <c r="D50"/>
  <c r="C50"/>
  <c r="F42"/>
  <c r="E42"/>
  <c r="D42"/>
  <c r="C42"/>
  <c r="F37"/>
  <c r="E37"/>
  <c r="D37"/>
  <c r="C37"/>
  <c r="F31"/>
  <c r="E31"/>
  <c r="D31"/>
  <c r="C31"/>
  <c r="F19"/>
  <c r="F27" s="1"/>
  <c r="F32" s="1"/>
  <c r="E19"/>
  <c r="E27" s="1"/>
  <c r="E32" s="1"/>
  <c r="D19"/>
  <c r="D27" s="1"/>
  <c r="D32" s="1"/>
  <c r="C19"/>
  <c r="C27" s="1"/>
  <c r="C32" s="1"/>
  <c r="G27" i="2"/>
  <c r="F27"/>
  <c r="E27"/>
  <c r="D27"/>
  <c r="E8" i="27" l="1"/>
  <c r="D10" i="25"/>
  <c r="L10" i="54"/>
  <c r="L9"/>
  <c r="L8"/>
  <c r="L7"/>
  <c r="I19" i="35"/>
  <c r="H19"/>
  <c r="G19"/>
  <c r="F19"/>
  <c r="I28" i="34"/>
  <c r="H28"/>
  <c r="G28"/>
  <c r="F28"/>
  <c r="I25"/>
  <c r="H25"/>
  <c r="G25"/>
  <c r="F25"/>
  <c r="I18"/>
  <c r="H18"/>
  <c r="G18"/>
  <c r="F18"/>
  <c r="I17"/>
  <c r="H17"/>
  <c r="G17"/>
  <c r="F17"/>
  <c r="I13"/>
  <c r="H13"/>
  <c r="G13"/>
  <c r="F13"/>
  <c r="I8"/>
  <c r="H8"/>
  <c r="G8"/>
  <c r="F8"/>
  <c r="I7"/>
  <c r="I35" s="1"/>
  <c r="H7"/>
  <c r="H35" s="1"/>
  <c r="G7"/>
  <c r="G35" s="1"/>
  <c r="F7"/>
  <c r="F35" s="1"/>
  <c r="H23" i="33"/>
  <c r="G23"/>
  <c r="F23"/>
  <c r="E23"/>
  <c r="H18"/>
  <c r="G18"/>
  <c r="F18"/>
  <c r="E18"/>
  <c r="H13"/>
  <c r="G13"/>
  <c r="F13"/>
  <c r="E13"/>
  <c r="H8"/>
  <c r="G8"/>
  <c r="F8"/>
  <c r="E8"/>
  <c r="H7"/>
  <c r="G7"/>
  <c r="F7"/>
  <c r="E7"/>
  <c r="L20" i="32"/>
  <c r="K20"/>
  <c r="J20"/>
  <c r="I20"/>
  <c r="H20"/>
  <c r="G20"/>
  <c r="F20"/>
  <c r="E20"/>
  <c r="L29" i="31"/>
  <c r="K29"/>
  <c r="J29"/>
  <c r="I29"/>
  <c r="H29"/>
  <c r="G29"/>
  <c r="F29"/>
  <c r="E29"/>
  <c r="L26"/>
  <c r="K26"/>
  <c r="J26"/>
  <c r="I26"/>
  <c r="H26"/>
  <c r="G26"/>
  <c r="F26"/>
  <c r="E26"/>
  <c r="L19"/>
  <c r="K19"/>
  <c r="J19"/>
  <c r="I19"/>
  <c r="H19"/>
  <c r="G19"/>
  <c r="F19"/>
  <c r="E19"/>
  <c r="L18"/>
  <c r="K18"/>
  <c r="J18"/>
  <c r="I18"/>
  <c r="H18"/>
  <c r="G18"/>
  <c r="F18"/>
  <c r="E18"/>
  <c r="L14"/>
  <c r="K14"/>
  <c r="J14"/>
  <c r="I14"/>
  <c r="H14"/>
  <c r="G14"/>
  <c r="F14"/>
  <c r="E14"/>
  <c r="L9"/>
  <c r="K9"/>
  <c r="J9"/>
  <c r="I9"/>
  <c r="H9"/>
  <c r="G9"/>
  <c r="F9"/>
  <c r="E9"/>
  <c r="L8"/>
  <c r="L36" s="1"/>
  <c r="K8"/>
  <c r="K36" s="1"/>
  <c r="J8"/>
  <c r="J36" s="1"/>
  <c r="I8"/>
  <c r="I36" s="1"/>
  <c r="H8"/>
  <c r="H36" s="1"/>
  <c r="G8"/>
  <c r="G36" s="1"/>
  <c r="F8"/>
  <c r="F36" s="1"/>
  <c r="E8"/>
  <c r="E36" s="1"/>
  <c r="L24" i="30"/>
  <c r="K24"/>
  <c r="J24"/>
  <c r="I24"/>
  <c r="H24"/>
  <c r="G24"/>
  <c r="F24"/>
  <c r="E24"/>
  <c r="L19"/>
  <c r="K19"/>
  <c r="J19"/>
  <c r="I19"/>
  <c r="H19"/>
  <c r="G19"/>
  <c r="F19"/>
  <c r="E19"/>
  <c r="L8"/>
  <c r="K14"/>
  <c r="J14"/>
  <c r="H14"/>
  <c r="G14"/>
  <c r="F14"/>
  <c r="L9"/>
  <c r="K9"/>
  <c r="J9"/>
  <c r="I9"/>
  <c r="H9"/>
  <c r="G9"/>
  <c r="F9"/>
  <c r="E9"/>
  <c r="K8"/>
  <c r="J8"/>
  <c r="I8"/>
  <c r="H8"/>
  <c r="G8"/>
  <c r="F8"/>
  <c r="E8"/>
  <c r="I19" i="29"/>
  <c r="H19"/>
  <c r="G19"/>
  <c r="F19"/>
  <c r="I28" i="28"/>
  <c r="H28"/>
  <c r="G28"/>
  <c r="F28"/>
  <c r="F17" s="1"/>
  <c r="F35" s="1"/>
  <c r="I25"/>
  <c r="H25"/>
  <c r="H17" s="1"/>
  <c r="H35" s="1"/>
  <c r="F25"/>
  <c r="I18"/>
  <c r="H18"/>
  <c r="G18"/>
  <c r="F18"/>
  <c r="I17"/>
  <c r="G17"/>
  <c r="I13"/>
  <c r="H13"/>
  <c r="G13"/>
  <c r="F13"/>
  <c r="I8"/>
  <c r="H8"/>
  <c r="G8"/>
  <c r="F8"/>
  <c r="I7"/>
  <c r="I35" s="1"/>
  <c r="H7"/>
  <c r="G7"/>
  <c r="G35" s="1"/>
  <c r="F7"/>
  <c r="H23" i="27"/>
  <c r="G23"/>
  <c r="F23"/>
  <c r="E23"/>
  <c r="H18"/>
  <c r="G18"/>
  <c r="F18"/>
  <c r="F7" s="1"/>
  <c r="E18"/>
  <c r="H13"/>
  <c r="H7" s="1"/>
  <c r="G13"/>
  <c r="G7" s="1"/>
  <c r="F13"/>
  <c r="E13"/>
  <c r="E7" s="1"/>
  <c r="H8"/>
  <c r="G8"/>
  <c r="F8"/>
  <c r="E40" i="124"/>
  <c r="E41"/>
  <c r="E42"/>
  <c r="E43"/>
  <c r="E44"/>
  <c r="E45"/>
  <c r="E46"/>
  <c r="E39"/>
  <c r="E33"/>
  <c r="E34"/>
  <c r="E35"/>
  <c r="E36"/>
  <c r="E32"/>
  <c r="E26"/>
  <c r="E27"/>
  <c r="E28"/>
  <c r="E29"/>
  <c r="E25"/>
  <c r="E16"/>
  <c r="E17"/>
  <c r="E18"/>
  <c r="E19"/>
  <c r="E20"/>
  <c r="E21"/>
  <c r="D24"/>
  <c r="E8"/>
  <c r="E9"/>
  <c r="E10"/>
  <c r="E7"/>
  <c r="K11" i="79"/>
  <c r="L11"/>
  <c r="O10" i="90"/>
  <c r="L10"/>
  <c r="I10"/>
  <c r="O9"/>
  <c r="L9"/>
  <c r="I9"/>
  <c r="F9"/>
  <c r="O8"/>
  <c r="L8"/>
  <c r="I8"/>
  <c r="F8"/>
  <c r="O7"/>
  <c r="L7"/>
  <c r="I7"/>
  <c r="F7"/>
  <c r="K9" i="67"/>
  <c r="E27" i="130"/>
  <c r="D27"/>
  <c r="C27"/>
  <c r="B27"/>
  <c r="E21"/>
  <c r="D21"/>
  <c r="C21"/>
  <c r="B21"/>
  <c r="E15"/>
  <c r="D15"/>
  <c r="C15"/>
  <c r="B15"/>
  <c r="E7"/>
  <c r="D7"/>
  <c r="C7"/>
  <c r="B7"/>
  <c r="P10" i="62"/>
  <c r="Q10" s="1"/>
  <c r="O10"/>
  <c r="N10"/>
  <c r="M10"/>
  <c r="I10"/>
  <c r="E10"/>
  <c r="C29" i="26" l="1"/>
  <c r="C22"/>
  <c r="D13"/>
  <c r="D14"/>
  <c r="D15"/>
  <c r="D16"/>
  <c r="D17"/>
  <c r="D18"/>
  <c r="D19"/>
  <c r="D20"/>
  <c r="D23"/>
  <c r="D24"/>
  <c r="D25"/>
  <c r="D26"/>
  <c r="D27"/>
  <c r="D28"/>
  <c r="D7"/>
  <c r="D8"/>
  <c r="D9"/>
  <c r="D6"/>
  <c r="F29" i="25"/>
  <c r="D22" i="26" l="1"/>
  <c r="D12"/>
  <c r="F45" i="24"/>
  <c r="E8"/>
  <c r="E9"/>
  <c r="E10"/>
  <c r="E11"/>
  <c r="E7"/>
  <c r="H46" i="60"/>
  <c r="A2" i="38"/>
  <c r="L7" i="43"/>
  <c r="L8"/>
  <c r="L9"/>
  <c r="L10"/>
  <c r="L6"/>
  <c r="J9" i="93"/>
  <c r="F36" i="77"/>
  <c r="F9" i="56"/>
  <c r="F8"/>
  <c r="F7"/>
  <c r="F6"/>
  <c r="H8" i="42"/>
  <c r="H7"/>
  <c r="H6"/>
  <c r="B35" i="40"/>
  <c r="B28"/>
  <c r="B21"/>
  <c r="B11"/>
  <c r="I45" i="24"/>
  <c r="H45"/>
  <c r="G45"/>
  <c r="D45"/>
  <c r="C45"/>
  <c r="B45"/>
  <c r="E54"/>
  <c r="A2" i="86"/>
  <c r="D63" i="1"/>
  <c r="D59"/>
  <c r="B59"/>
  <c r="B63"/>
  <c r="A2" i="152"/>
  <c r="D64" i="1"/>
  <c r="D60"/>
  <c r="F18" i="42"/>
  <c r="D62" i="1"/>
  <c r="G10" i="93"/>
  <c r="D80" i="1" s="1"/>
  <c r="B12" i="25"/>
  <c r="C12"/>
  <c r="W24" i="37"/>
  <c r="X24"/>
  <c r="Y24"/>
  <c r="E29" i="25"/>
  <c r="D29"/>
  <c r="C29"/>
  <c r="B29"/>
  <c r="L30" i="51"/>
  <c r="L18"/>
  <c r="G18"/>
  <c r="G30"/>
  <c r="G19" i="114"/>
  <c r="B20" i="86"/>
  <c r="M9" i="31"/>
  <c r="A2" i="108"/>
  <c r="A2" i="107"/>
  <c r="A2" i="106"/>
  <c r="A2" i="105"/>
  <c r="E6"/>
  <c r="E7"/>
  <c r="E8"/>
  <c r="E9"/>
  <c r="E10"/>
  <c r="E11"/>
  <c r="E12"/>
  <c r="E13"/>
  <c r="E14"/>
  <c r="E15"/>
  <c r="E16"/>
  <c r="E17"/>
  <c r="E18"/>
  <c r="E19"/>
  <c r="E20"/>
  <c r="E21"/>
  <c r="E22"/>
  <c r="E23"/>
  <c r="E24"/>
  <c r="E25"/>
  <c r="E26"/>
  <c r="E27"/>
  <c r="E28"/>
  <c r="E29"/>
  <c r="E30"/>
  <c r="A2" i="104"/>
  <c r="A2" i="102"/>
  <c r="P7"/>
  <c r="Q7"/>
  <c r="P8"/>
  <c r="Q8"/>
  <c r="P9"/>
  <c r="Q9"/>
  <c r="P10"/>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A2" i="100"/>
  <c r="G7"/>
  <c r="G8"/>
  <c r="G9"/>
  <c r="G10"/>
  <c r="G11"/>
  <c r="G12"/>
  <c r="G13"/>
  <c r="G14"/>
  <c r="G15"/>
  <c r="G16"/>
  <c r="G17"/>
  <c r="G18"/>
  <c r="G19"/>
  <c r="G20"/>
  <c r="G21"/>
  <c r="G22"/>
  <c r="G23"/>
  <c r="G24"/>
  <c r="G25"/>
  <c r="G26"/>
  <c r="G27"/>
  <c r="G28"/>
  <c r="G29"/>
  <c r="G30"/>
  <c r="G31"/>
  <c r="B2" i="99"/>
  <c r="L6"/>
  <c r="P6"/>
  <c r="R6"/>
  <c r="S6"/>
  <c r="H6" s="1"/>
  <c r="S7"/>
  <c r="F7" s="1"/>
  <c r="S8"/>
  <c r="H8" s="1"/>
  <c r="P9"/>
  <c r="S9"/>
  <c r="F9" s="1"/>
  <c r="J10"/>
  <c r="L10"/>
  <c r="N10"/>
  <c r="P10"/>
  <c r="R10"/>
  <c r="S10"/>
  <c r="H10" s="1"/>
  <c r="J11"/>
  <c r="L11"/>
  <c r="N11"/>
  <c r="P11"/>
  <c r="S11"/>
  <c r="F11" s="1"/>
  <c r="N12"/>
  <c r="P12"/>
  <c r="R12"/>
  <c r="S12"/>
  <c r="H12" s="1"/>
  <c r="L13"/>
  <c r="P13"/>
  <c r="S13"/>
  <c r="F13" s="1"/>
  <c r="J14"/>
  <c r="L14"/>
  <c r="N14"/>
  <c r="P14"/>
  <c r="R14"/>
  <c r="S14"/>
  <c r="H14" s="1"/>
  <c r="J15"/>
  <c r="L15"/>
  <c r="N15"/>
  <c r="P15"/>
  <c r="R15"/>
  <c r="S15"/>
  <c r="F15" s="1"/>
  <c r="N16"/>
  <c r="P16"/>
  <c r="S16"/>
  <c r="H16" s="1"/>
  <c r="J17"/>
  <c r="N17"/>
  <c r="P17"/>
  <c r="S17"/>
  <c r="F17" s="1"/>
  <c r="J18"/>
  <c r="L18"/>
  <c r="N18"/>
  <c r="P18"/>
  <c r="R18"/>
  <c r="S18"/>
  <c r="H18" s="1"/>
  <c r="P19"/>
  <c r="S19"/>
  <c r="F19" s="1"/>
  <c r="L20"/>
  <c r="N20"/>
  <c r="P20"/>
  <c r="R20"/>
  <c r="S20"/>
  <c r="H20" s="1"/>
  <c r="L21"/>
  <c r="P21"/>
  <c r="S21"/>
  <c r="F21" s="1"/>
  <c r="J22"/>
  <c r="L22"/>
  <c r="N22"/>
  <c r="P22"/>
  <c r="R22"/>
  <c r="S22"/>
  <c r="H22" s="1"/>
  <c r="J23"/>
  <c r="L23"/>
  <c r="N23"/>
  <c r="P23"/>
  <c r="S23"/>
  <c r="F23" s="1"/>
  <c r="R24"/>
  <c r="S24"/>
  <c r="H24" s="1"/>
  <c r="P25"/>
  <c r="S25"/>
  <c r="F25" s="1"/>
  <c r="L26"/>
  <c r="N26"/>
  <c r="S26"/>
  <c r="H26" s="1"/>
  <c r="L27"/>
  <c r="N27"/>
  <c r="P27"/>
  <c r="S27"/>
  <c r="F27" s="1"/>
  <c r="L28"/>
  <c r="N28"/>
  <c r="R28"/>
  <c r="S28"/>
  <c r="H28" s="1"/>
  <c r="L29"/>
  <c r="N29"/>
  <c r="P29"/>
  <c r="S29"/>
  <c r="F29" s="1"/>
  <c r="I7" i="133"/>
  <c r="Q7"/>
  <c r="R7"/>
  <c r="G7" s="1"/>
  <c r="R8"/>
  <c r="E8" s="1"/>
  <c r="I9"/>
  <c r="Q9"/>
  <c r="R9"/>
  <c r="G9" s="1"/>
  <c r="O10"/>
  <c r="R10"/>
  <c r="E10" s="1"/>
  <c r="E11"/>
  <c r="I11"/>
  <c r="M11"/>
  <c r="O11"/>
  <c r="Q11"/>
  <c r="R11"/>
  <c r="G11" s="1"/>
  <c r="I12"/>
  <c r="K12"/>
  <c r="M12"/>
  <c r="O12"/>
  <c r="R12"/>
  <c r="E12" s="1"/>
  <c r="I13"/>
  <c r="Q13"/>
  <c r="R13"/>
  <c r="G13" s="1"/>
  <c r="K14"/>
  <c r="O14"/>
  <c r="R14"/>
  <c r="E14" s="1"/>
  <c r="O15"/>
  <c r="R15"/>
  <c r="G15" s="1"/>
  <c r="I16"/>
  <c r="K16"/>
  <c r="M16"/>
  <c r="O16"/>
  <c r="Q16"/>
  <c r="R16"/>
  <c r="E16" s="1"/>
  <c r="O17"/>
  <c r="R17"/>
  <c r="G17" s="1"/>
  <c r="I18"/>
  <c r="M18"/>
  <c r="O18"/>
  <c r="R18"/>
  <c r="E18" s="1"/>
  <c r="I19"/>
  <c r="Q19"/>
  <c r="R19"/>
  <c r="G19" s="1"/>
  <c r="O20"/>
  <c r="R20"/>
  <c r="E20" s="1"/>
  <c r="E21"/>
  <c r="M21"/>
  <c r="O21"/>
  <c r="Q21"/>
  <c r="R21"/>
  <c r="G21" s="1"/>
  <c r="K22"/>
  <c r="O22"/>
  <c r="R22"/>
  <c r="E22" s="1"/>
  <c r="O23"/>
  <c r="R23"/>
  <c r="G23" s="1"/>
  <c r="I24"/>
  <c r="K24"/>
  <c r="M24"/>
  <c r="O24"/>
  <c r="R24"/>
  <c r="E24" s="1"/>
  <c r="E25"/>
  <c r="M25"/>
  <c r="O25"/>
  <c r="Q25"/>
  <c r="R25"/>
  <c r="G25" s="1"/>
  <c r="O26"/>
  <c r="R26"/>
  <c r="E26" s="1"/>
  <c r="E27"/>
  <c r="M27"/>
  <c r="O27"/>
  <c r="Q27"/>
  <c r="R27"/>
  <c r="G27" s="1"/>
  <c r="K28"/>
  <c r="M28"/>
  <c r="O28"/>
  <c r="R28"/>
  <c r="E28" s="1"/>
  <c r="E29"/>
  <c r="M29"/>
  <c r="O29"/>
  <c r="Q29"/>
  <c r="R29"/>
  <c r="G29" s="1"/>
  <c r="K30"/>
  <c r="M30"/>
  <c r="O30"/>
  <c r="R30"/>
  <c r="E30" s="1"/>
  <c r="A2" i="98"/>
  <c r="A2" i="84"/>
  <c r="B11"/>
  <c r="B12"/>
  <c r="B22"/>
  <c r="B29"/>
  <c r="B36"/>
  <c r="A2" i="43"/>
  <c r="A2" i="81"/>
  <c r="M12"/>
  <c r="A17"/>
  <c r="M23"/>
  <c r="B2" i="79"/>
  <c r="D11"/>
  <c r="E11"/>
  <c r="F11"/>
  <c r="G11"/>
  <c r="H11"/>
  <c r="I11"/>
  <c r="J11"/>
  <c r="M11"/>
  <c r="B16"/>
  <c r="D32"/>
  <c r="F32"/>
  <c r="H32"/>
  <c r="J32"/>
  <c r="L32"/>
  <c r="B2" i="78"/>
  <c r="C16"/>
  <c r="D16"/>
  <c r="E16"/>
  <c r="F16"/>
  <c r="G16"/>
  <c r="H16"/>
  <c r="I16"/>
  <c r="J16"/>
  <c r="K16"/>
  <c r="L16"/>
  <c r="C32"/>
  <c r="D32"/>
  <c r="E32"/>
  <c r="F32"/>
  <c r="G32"/>
  <c r="H32"/>
  <c r="I32"/>
  <c r="J32"/>
  <c r="K32"/>
  <c r="L32"/>
  <c r="L33"/>
  <c r="B2" i="94"/>
  <c r="B31"/>
  <c r="B2" i="93"/>
  <c r="J6"/>
  <c r="J7"/>
  <c r="J8"/>
  <c r="D10"/>
  <c r="D79" i="1" s="1"/>
  <c r="D11" i="93"/>
  <c r="J12"/>
  <c r="J13"/>
  <c r="J14"/>
  <c r="J15"/>
  <c r="J16"/>
  <c r="B21"/>
  <c r="L25"/>
  <c r="L26"/>
  <c r="L27"/>
  <c r="L28"/>
  <c r="L29"/>
  <c r="B2" i="90"/>
  <c r="I11"/>
  <c r="L11"/>
  <c r="O11"/>
  <c r="A2" i="88"/>
  <c r="F18"/>
  <c r="A24"/>
  <c r="A21" i="86"/>
  <c r="A2" i="85"/>
  <c r="A2" i="77"/>
  <c r="B11"/>
  <c r="B12"/>
  <c r="C12"/>
  <c r="D12"/>
  <c r="E12"/>
  <c r="F12"/>
  <c r="G12"/>
  <c r="B22"/>
  <c r="C22"/>
  <c r="D22"/>
  <c r="E22"/>
  <c r="F22"/>
  <c r="G22"/>
  <c r="B29"/>
  <c r="C29"/>
  <c r="D29"/>
  <c r="E29"/>
  <c r="F29"/>
  <c r="G29"/>
  <c r="B36"/>
  <c r="C36"/>
  <c r="D36"/>
  <c r="E36"/>
  <c r="G36"/>
  <c r="A2" i="75"/>
  <c r="B13"/>
  <c r="C13"/>
  <c r="D13"/>
  <c r="E13"/>
  <c r="F13"/>
  <c r="A20"/>
  <c r="B2" i="128"/>
  <c r="K7"/>
  <c r="L7"/>
  <c r="M7"/>
  <c r="N7"/>
  <c r="K8"/>
  <c r="L8"/>
  <c r="M8"/>
  <c r="N8"/>
  <c r="E9"/>
  <c r="F9"/>
  <c r="I9"/>
  <c r="J9"/>
  <c r="K9"/>
  <c r="L9"/>
  <c r="M9"/>
  <c r="N9"/>
  <c r="B13"/>
  <c r="K18"/>
  <c r="L18"/>
  <c r="M18"/>
  <c r="N18"/>
  <c r="K19"/>
  <c r="L19"/>
  <c r="M19"/>
  <c r="N19"/>
  <c r="E20"/>
  <c r="F20"/>
  <c r="I20"/>
  <c r="J20"/>
  <c r="K20"/>
  <c r="L20"/>
  <c r="M20"/>
  <c r="N20"/>
  <c r="C24"/>
  <c r="B2" i="71"/>
  <c r="B2" i="69"/>
  <c r="B2" i="67"/>
  <c r="K6"/>
  <c r="K7"/>
  <c r="K8"/>
  <c r="K10"/>
  <c r="A2" i="130"/>
  <c r="F7"/>
  <c r="F15"/>
  <c r="F21"/>
  <c r="F27"/>
  <c r="B36"/>
  <c r="D36"/>
  <c r="F36"/>
  <c r="A2" i="62"/>
  <c r="E9"/>
  <c r="I9"/>
  <c r="M9"/>
  <c r="Q9"/>
  <c r="A20"/>
  <c r="A2" i="61"/>
  <c r="C31"/>
  <c r="C43" s="1"/>
  <c r="D31"/>
  <c r="D43" s="1"/>
  <c r="E31"/>
  <c r="F31"/>
  <c r="F43" s="1"/>
  <c r="G31"/>
  <c r="G43" s="1"/>
  <c r="C32"/>
  <c r="C44" s="1"/>
  <c r="D32"/>
  <c r="E32"/>
  <c r="E44" s="1"/>
  <c r="F32"/>
  <c r="F44" s="1"/>
  <c r="G32"/>
  <c r="G44" s="1"/>
  <c r="C33"/>
  <c r="D33"/>
  <c r="D45" s="1"/>
  <c r="E33"/>
  <c r="E45" s="1"/>
  <c r="F33"/>
  <c r="F45" s="1"/>
  <c r="G33"/>
  <c r="C34"/>
  <c r="C46" s="1"/>
  <c r="D34"/>
  <c r="D46" s="1"/>
  <c r="E34"/>
  <c r="E46" s="1"/>
  <c r="F34"/>
  <c r="G34"/>
  <c r="G46" s="1"/>
  <c r="C35"/>
  <c r="C47" s="1"/>
  <c r="D71" i="1" s="1"/>
  <c r="D35" i="61"/>
  <c r="D47" s="1"/>
  <c r="D72" i="1" s="1"/>
  <c r="E35" i="61"/>
  <c r="E47" s="1"/>
  <c r="D73" i="1" s="1"/>
  <c r="F35" i="61"/>
  <c r="F47" s="1"/>
  <c r="G35"/>
  <c r="G47" s="1"/>
  <c r="E43"/>
  <c r="D44"/>
  <c r="C45"/>
  <c r="G45"/>
  <c r="F46"/>
  <c r="A2" i="60"/>
  <c r="B11"/>
  <c r="B12"/>
  <c r="C12"/>
  <c r="D12"/>
  <c r="E12"/>
  <c r="F12"/>
  <c r="G12"/>
  <c r="H12"/>
  <c r="I12"/>
  <c r="B22"/>
  <c r="C22"/>
  <c r="D22"/>
  <c r="E22"/>
  <c r="F22"/>
  <c r="G22"/>
  <c r="H22"/>
  <c r="I22"/>
  <c r="B29"/>
  <c r="C29"/>
  <c r="D29"/>
  <c r="E29"/>
  <c r="F29"/>
  <c r="G29"/>
  <c r="H29"/>
  <c r="I29"/>
  <c r="B36"/>
  <c r="C36"/>
  <c r="D36"/>
  <c r="E36"/>
  <c r="F36"/>
  <c r="G36"/>
  <c r="H36"/>
  <c r="I36"/>
  <c r="C10" i="59"/>
  <c r="D10"/>
  <c r="E10"/>
  <c r="F10"/>
  <c r="G10"/>
  <c r="C15"/>
  <c r="D15"/>
  <c r="E15"/>
  <c r="F15"/>
  <c r="G15"/>
  <c r="E21"/>
  <c r="C26"/>
  <c r="D26"/>
  <c r="E26"/>
  <c r="F26"/>
  <c r="G26"/>
  <c r="A2" i="56"/>
  <c r="F10"/>
  <c r="A15"/>
  <c r="A28"/>
  <c r="B2" i="54"/>
  <c r="L11"/>
  <c r="D34" i="1" s="1"/>
  <c r="B19" i="54"/>
  <c r="A2" i="53"/>
  <c r="G14"/>
  <c r="B2" i="52"/>
  <c r="A2" i="51"/>
  <c r="B2" i="50"/>
  <c r="A2" i="49"/>
  <c r="A2" i="114"/>
  <c r="G7"/>
  <c r="G15" s="1"/>
  <c r="G20" s="1"/>
  <c r="G25"/>
  <c r="G30"/>
  <c r="G38"/>
  <c r="A2" i="46"/>
  <c r="G6"/>
  <c r="G7"/>
  <c r="G8"/>
  <c r="G9"/>
  <c r="G10"/>
  <c r="A14"/>
  <c r="G19"/>
  <c r="G27" s="1"/>
  <c r="G31"/>
  <c r="G37"/>
  <c r="G42"/>
  <c r="G50"/>
  <c r="B2" i="83"/>
  <c r="A14"/>
  <c r="L20"/>
  <c r="M20"/>
  <c r="N20" s="1"/>
  <c r="L21"/>
  <c r="M21"/>
  <c r="N21" s="1"/>
  <c r="B2" i="42"/>
  <c r="H9"/>
  <c r="C10"/>
  <c r="D10"/>
  <c r="E10"/>
  <c r="F10"/>
  <c r="G10"/>
  <c r="H10" s="1"/>
  <c r="C11"/>
  <c r="H12"/>
  <c r="H13"/>
  <c r="H17" s="1"/>
  <c r="H14"/>
  <c r="H15"/>
  <c r="H16"/>
  <c r="C17"/>
  <c r="D17"/>
  <c r="E17"/>
  <c r="F17"/>
  <c r="G17"/>
  <c r="A2" i="40"/>
  <c r="B9"/>
  <c r="C11"/>
  <c r="C21"/>
  <c r="C28"/>
  <c r="C35"/>
  <c r="D11"/>
  <c r="D21"/>
  <c r="D28"/>
  <c r="D35"/>
  <c r="B10"/>
  <c r="A2" i="39"/>
  <c r="B11"/>
  <c r="B12"/>
  <c r="C12"/>
  <c r="B22"/>
  <c r="C22"/>
  <c r="B29"/>
  <c r="C29"/>
  <c r="B36"/>
  <c r="C36"/>
  <c r="B2" i="37"/>
  <c r="C7"/>
  <c r="C41" s="1"/>
  <c r="D7"/>
  <c r="E7"/>
  <c r="F7"/>
  <c r="G7"/>
  <c r="H7"/>
  <c r="I7"/>
  <c r="J7"/>
  <c r="K7"/>
  <c r="L7"/>
  <c r="M7"/>
  <c r="M41" s="1"/>
  <c r="N7"/>
  <c r="Q7"/>
  <c r="R7"/>
  <c r="S7"/>
  <c r="T7"/>
  <c r="U7"/>
  <c r="U41" s="1"/>
  <c r="V7"/>
  <c r="W7"/>
  <c r="X7"/>
  <c r="Y7"/>
  <c r="C17"/>
  <c r="D17"/>
  <c r="E17"/>
  <c r="F17"/>
  <c r="G17"/>
  <c r="H17"/>
  <c r="H41" s="1"/>
  <c r="I17"/>
  <c r="J17"/>
  <c r="K17"/>
  <c r="L17"/>
  <c r="M17"/>
  <c r="N17"/>
  <c r="Q17"/>
  <c r="R17"/>
  <c r="S17"/>
  <c r="T17"/>
  <c r="U17"/>
  <c r="V17"/>
  <c r="W17"/>
  <c r="X17"/>
  <c r="Y17"/>
  <c r="C24"/>
  <c r="D24"/>
  <c r="E24"/>
  <c r="F24"/>
  <c r="G24"/>
  <c r="H24"/>
  <c r="I24"/>
  <c r="J24"/>
  <c r="K24"/>
  <c r="L24"/>
  <c r="M24"/>
  <c r="N24"/>
  <c r="Q24"/>
  <c r="R24"/>
  <c r="S24"/>
  <c r="T24"/>
  <c r="U24"/>
  <c r="V24"/>
  <c r="C31"/>
  <c r="D31"/>
  <c r="E31"/>
  <c r="F31"/>
  <c r="G31"/>
  <c r="H31"/>
  <c r="I31"/>
  <c r="J31"/>
  <c r="K31"/>
  <c r="L31"/>
  <c r="M31"/>
  <c r="N31"/>
  <c r="Q31"/>
  <c r="R31"/>
  <c r="S31"/>
  <c r="T31"/>
  <c r="U31"/>
  <c r="V31"/>
  <c r="W31"/>
  <c r="X31"/>
  <c r="Y31"/>
  <c r="F41"/>
  <c r="K41"/>
  <c r="Q41"/>
  <c r="W41"/>
  <c r="B2" i="35"/>
  <c r="J19"/>
  <c r="B2" i="34"/>
  <c r="J8"/>
  <c r="J13"/>
  <c r="J18"/>
  <c r="J25"/>
  <c r="J28"/>
  <c r="A2" i="33"/>
  <c r="I8"/>
  <c r="I13"/>
  <c r="I18"/>
  <c r="I23"/>
  <c r="A2" i="32"/>
  <c r="M20"/>
  <c r="N20"/>
  <c r="A2" i="31"/>
  <c r="N9"/>
  <c r="M14"/>
  <c r="M8" s="1"/>
  <c r="N14"/>
  <c r="M19"/>
  <c r="N19"/>
  <c r="M26"/>
  <c r="N26"/>
  <c r="M29"/>
  <c r="N29"/>
  <c r="N37"/>
  <c r="A2" i="30"/>
  <c r="M9"/>
  <c r="N9"/>
  <c r="M14"/>
  <c r="N14"/>
  <c r="M19"/>
  <c r="N19"/>
  <c r="M24"/>
  <c r="N24"/>
  <c r="B2" i="29"/>
  <c r="J19"/>
  <c r="B2" i="28"/>
  <c r="J8"/>
  <c r="J13"/>
  <c r="J28"/>
  <c r="J18"/>
  <c r="J25"/>
  <c r="J36"/>
  <c r="A2" i="27"/>
  <c r="I8"/>
  <c r="I13"/>
  <c r="I18"/>
  <c r="I23"/>
  <c r="A2" i="124"/>
  <c r="B12"/>
  <c r="B14"/>
  <c r="C14"/>
  <c r="D14"/>
  <c r="B24"/>
  <c r="C24"/>
  <c r="B31"/>
  <c r="C31"/>
  <c r="D31"/>
  <c r="B38"/>
  <c r="C38"/>
  <c r="D38"/>
  <c r="A2" i="26"/>
  <c r="B11"/>
  <c r="B12"/>
  <c r="C12"/>
  <c r="B22"/>
  <c r="B29"/>
  <c r="D30"/>
  <c r="D31"/>
  <c r="D32"/>
  <c r="D33"/>
  <c r="D34"/>
  <c r="D35"/>
  <c r="B36"/>
  <c r="C36"/>
  <c r="D37"/>
  <c r="D38"/>
  <c r="D39"/>
  <c r="D40"/>
  <c r="D41"/>
  <c r="D42"/>
  <c r="D43"/>
  <c r="D44"/>
  <c r="D45"/>
  <c r="A2" i="25"/>
  <c r="B22"/>
  <c r="B36"/>
  <c r="E36"/>
  <c r="E12"/>
  <c r="E22"/>
  <c r="D12"/>
  <c r="D22"/>
  <c r="D36"/>
  <c r="C22"/>
  <c r="C36"/>
  <c r="F12"/>
  <c r="F22"/>
  <c r="F36"/>
  <c r="B11"/>
  <c r="A2" i="24"/>
  <c r="B13"/>
  <c r="C13"/>
  <c r="F13"/>
  <c r="G13"/>
  <c r="H13"/>
  <c r="I13"/>
  <c r="B12"/>
  <c r="D13"/>
  <c r="E14"/>
  <c r="E15"/>
  <c r="E16"/>
  <c r="E17"/>
  <c r="E18"/>
  <c r="E19"/>
  <c r="E20"/>
  <c r="E21"/>
  <c r="B23"/>
  <c r="C23"/>
  <c r="E23" s="1"/>
  <c r="F23"/>
  <c r="G23"/>
  <c r="H23"/>
  <c r="I23"/>
  <c r="E24"/>
  <c r="E25"/>
  <c r="E26"/>
  <c r="E27"/>
  <c r="E28"/>
  <c r="E29"/>
  <c r="B38"/>
  <c r="C38"/>
  <c r="D38"/>
  <c r="E38" s="1"/>
  <c r="F38"/>
  <c r="G38"/>
  <c r="H38"/>
  <c r="I38"/>
  <c r="E39"/>
  <c r="E40"/>
  <c r="E41"/>
  <c r="E42"/>
  <c r="E43"/>
  <c r="E44"/>
  <c r="E46"/>
  <c r="E47"/>
  <c r="E48"/>
  <c r="E49"/>
  <c r="E50"/>
  <c r="E51"/>
  <c r="E52"/>
  <c r="E53"/>
  <c r="E55"/>
  <c r="A2" i="23"/>
  <c r="B14"/>
  <c r="B24"/>
  <c r="B40"/>
  <c r="B47"/>
  <c r="B12" s="1"/>
  <c r="C14"/>
  <c r="C24"/>
  <c r="C40"/>
  <c r="C47"/>
  <c r="D14"/>
  <c r="D24"/>
  <c r="D40"/>
  <c r="D47"/>
  <c r="E14"/>
  <c r="E24"/>
  <c r="E40"/>
  <c r="E47"/>
  <c r="F14"/>
  <c r="F24"/>
  <c r="F12" s="1"/>
  <c r="F40"/>
  <c r="F47"/>
  <c r="G14"/>
  <c r="G24"/>
  <c r="G40"/>
  <c r="G47"/>
  <c r="H14"/>
  <c r="H24"/>
  <c r="H40"/>
  <c r="H47"/>
  <c r="I14"/>
  <c r="I24"/>
  <c r="I40"/>
  <c r="I47"/>
  <c r="J24"/>
  <c r="J48"/>
  <c r="J49"/>
  <c r="J50"/>
  <c r="J51"/>
  <c r="J52"/>
  <c r="J53"/>
  <c r="J54"/>
  <c r="J55"/>
  <c r="J56"/>
  <c r="K14"/>
  <c r="K24"/>
  <c r="K40"/>
  <c r="K47"/>
  <c r="L14"/>
  <c r="L24"/>
  <c r="L40"/>
  <c r="L47"/>
  <c r="B13"/>
  <c r="J15"/>
  <c r="J16"/>
  <c r="J17"/>
  <c r="J18"/>
  <c r="J19"/>
  <c r="J20"/>
  <c r="J21"/>
  <c r="J22"/>
  <c r="J23"/>
  <c r="J25"/>
  <c r="J26"/>
  <c r="J27"/>
  <c r="J28"/>
  <c r="J29"/>
  <c r="J30"/>
  <c r="J41"/>
  <c r="J42"/>
  <c r="J43"/>
  <c r="J44"/>
  <c r="J45"/>
  <c r="J46"/>
  <c r="E7" i="150"/>
  <c r="H7"/>
  <c r="I7"/>
  <c r="J7"/>
  <c r="K7"/>
  <c r="E8"/>
  <c r="H8"/>
  <c r="I8"/>
  <c r="J8"/>
  <c r="K8" s="1"/>
  <c r="E9"/>
  <c r="H9"/>
  <c r="I9"/>
  <c r="J9"/>
  <c r="K9" s="1"/>
  <c r="E10"/>
  <c r="H10"/>
  <c r="I10"/>
  <c r="J10"/>
  <c r="E11"/>
  <c r="H11"/>
  <c r="I11"/>
  <c r="J11"/>
  <c r="K11"/>
  <c r="E12"/>
  <c r="H12"/>
  <c r="I12"/>
  <c r="J12"/>
  <c r="K12" s="1"/>
  <c r="E13"/>
  <c r="H13"/>
  <c r="I13"/>
  <c r="J13"/>
  <c r="K13" s="1"/>
  <c r="E14"/>
  <c r="H14"/>
  <c r="I14"/>
  <c r="I15" s="1"/>
  <c r="J14"/>
  <c r="C15"/>
  <c r="D15"/>
  <c r="E15"/>
  <c r="F15"/>
  <c r="G15"/>
  <c r="J15"/>
  <c r="B7" i="127"/>
  <c r="C7"/>
  <c r="D7"/>
  <c r="E7"/>
  <c r="F7"/>
  <c r="G7"/>
  <c r="H7"/>
  <c r="I7"/>
  <c r="J7"/>
  <c r="K7"/>
  <c r="L7"/>
  <c r="M7"/>
  <c r="O7"/>
  <c r="P7"/>
  <c r="Q7"/>
  <c r="R7"/>
  <c r="S7"/>
  <c r="T7"/>
  <c r="U7"/>
  <c r="V7"/>
  <c r="W7"/>
  <c r="X7"/>
  <c r="Y7"/>
  <c r="Z7"/>
  <c r="AA8"/>
  <c r="AA9"/>
  <c r="AA10"/>
  <c r="AA11"/>
  <c r="AA12"/>
  <c r="AA13"/>
  <c r="AA14"/>
  <c r="AA15"/>
  <c r="AB8"/>
  <c r="AB9"/>
  <c r="AB10"/>
  <c r="AB11"/>
  <c r="AB12"/>
  <c r="AB13"/>
  <c r="AB7" s="1"/>
  <c r="AB14"/>
  <c r="AB15"/>
  <c r="AC8"/>
  <c r="AC9"/>
  <c r="AC10"/>
  <c r="AC11"/>
  <c r="AC12"/>
  <c r="AC13"/>
  <c r="AC14"/>
  <c r="AC15"/>
  <c r="B16"/>
  <c r="C16"/>
  <c r="D16"/>
  <c r="E16"/>
  <c r="F16"/>
  <c r="G16"/>
  <c r="H16"/>
  <c r="I16"/>
  <c r="J16"/>
  <c r="K16"/>
  <c r="L16"/>
  <c r="M16"/>
  <c r="O16"/>
  <c r="P16"/>
  <c r="Q16"/>
  <c r="R16"/>
  <c r="S16"/>
  <c r="T16"/>
  <c r="U16"/>
  <c r="V16"/>
  <c r="W16"/>
  <c r="X16"/>
  <c r="Y16"/>
  <c r="Z16"/>
  <c r="AA17"/>
  <c r="AA18"/>
  <c r="AA19"/>
  <c r="AA20"/>
  <c r="AA21"/>
  <c r="AA22"/>
  <c r="AA16"/>
  <c r="AB17"/>
  <c r="AB18"/>
  <c r="AB19"/>
  <c r="AB20"/>
  <c r="AB21"/>
  <c r="AB22"/>
  <c r="AB16" s="1"/>
  <c r="AC17"/>
  <c r="AC18"/>
  <c r="AC19"/>
  <c r="AC20"/>
  <c r="AC21"/>
  <c r="AC22"/>
  <c r="AC16" s="1"/>
  <c r="B23"/>
  <c r="C23"/>
  <c r="D23"/>
  <c r="E23"/>
  <c r="F23"/>
  <c r="G23"/>
  <c r="H23"/>
  <c r="I23"/>
  <c r="J23"/>
  <c r="K23"/>
  <c r="L23"/>
  <c r="M23"/>
  <c r="O23"/>
  <c r="P23"/>
  <c r="Q23"/>
  <c r="R23"/>
  <c r="S23"/>
  <c r="T23"/>
  <c r="U23"/>
  <c r="V23"/>
  <c r="W23"/>
  <c r="X23"/>
  <c r="Y23"/>
  <c r="Z23"/>
  <c r="AA24"/>
  <c r="AA25"/>
  <c r="AA26"/>
  <c r="AA27"/>
  <c r="AA28"/>
  <c r="AA29"/>
  <c r="AA23" s="1"/>
  <c r="AB24"/>
  <c r="AB25"/>
  <c r="AB26"/>
  <c r="AB27"/>
  <c r="AB28"/>
  <c r="AB29"/>
  <c r="AB23" s="1"/>
  <c r="AC24"/>
  <c r="AC25"/>
  <c r="AC26"/>
  <c r="AC27"/>
  <c r="AC28"/>
  <c r="AC29"/>
  <c r="AC23"/>
  <c r="B30"/>
  <c r="C30"/>
  <c r="D30"/>
  <c r="E30"/>
  <c r="F30"/>
  <c r="G30"/>
  <c r="H30"/>
  <c r="I30"/>
  <c r="J30"/>
  <c r="K30"/>
  <c r="L30"/>
  <c r="M30"/>
  <c r="O30"/>
  <c r="P30"/>
  <c r="Q30"/>
  <c r="R30"/>
  <c r="S30"/>
  <c r="T30"/>
  <c r="U30"/>
  <c r="V30"/>
  <c r="W30"/>
  <c r="X30"/>
  <c r="Y30"/>
  <c r="Z30"/>
  <c r="AA31"/>
  <c r="AA32"/>
  <c r="AA33"/>
  <c r="AA34"/>
  <c r="AA35"/>
  <c r="AA36"/>
  <c r="AA37"/>
  <c r="AA38"/>
  <c r="AA39"/>
  <c r="AA30" s="1"/>
  <c r="AB31"/>
  <c r="AB32"/>
  <c r="AB33"/>
  <c r="AB34"/>
  <c r="AB35"/>
  <c r="AB36"/>
  <c r="AB37"/>
  <c r="AB38"/>
  <c r="AB39"/>
  <c r="AC31"/>
  <c r="AC32"/>
  <c r="AC33"/>
  <c r="AC34"/>
  <c r="AC35"/>
  <c r="AC36"/>
  <c r="AC37"/>
  <c r="AC38"/>
  <c r="AC39"/>
  <c r="B40"/>
  <c r="C40"/>
  <c r="D40"/>
  <c r="E40"/>
  <c r="F40"/>
  <c r="G40"/>
  <c r="H40"/>
  <c r="I40"/>
  <c r="J40"/>
  <c r="K40"/>
  <c r="L40"/>
  <c r="M40"/>
  <c r="O40"/>
  <c r="P40"/>
  <c r="Q40"/>
  <c r="R40"/>
  <c r="S40"/>
  <c r="T40"/>
  <c r="U40"/>
  <c r="V40"/>
  <c r="W40"/>
  <c r="X40"/>
  <c r="Y40"/>
  <c r="Z40"/>
  <c r="D15" i="20"/>
  <c r="F7" s="1"/>
  <c r="H15"/>
  <c r="J14" s="1"/>
  <c r="A2" i="149"/>
  <c r="B7"/>
  <c r="C7"/>
  <c r="E7"/>
  <c r="F7"/>
  <c r="D8"/>
  <c r="G8"/>
  <c r="D9"/>
  <c r="G9"/>
  <c r="D10"/>
  <c r="G10"/>
  <c r="D11"/>
  <c r="G11"/>
  <c r="D12"/>
  <c r="G12"/>
  <c r="D13"/>
  <c r="G13"/>
  <c r="D14"/>
  <c r="G14"/>
  <c r="D15"/>
  <c r="G15"/>
  <c r="D16"/>
  <c r="G16"/>
  <c r="B17"/>
  <c r="C17"/>
  <c r="E17"/>
  <c r="F17"/>
  <c r="D18"/>
  <c r="G18"/>
  <c r="D19"/>
  <c r="G19"/>
  <c r="D20"/>
  <c r="G20"/>
  <c r="D21"/>
  <c r="G21"/>
  <c r="D22"/>
  <c r="G22"/>
  <c r="D23"/>
  <c r="G23"/>
  <c r="B24"/>
  <c r="C24"/>
  <c r="E24"/>
  <c r="F24"/>
  <c r="D25"/>
  <c r="G25"/>
  <c r="D26"/>
  <c r="G26"/>
  <c r="D27"/>
  <c r="G27"/>
  <c r="D28"/>
  <c r="G28"/>
  <c r="D29"/>
  <c r="G29"/>
  <c r="D30"/>
  <c r="G30"/>
  <c r="B31"/>
  <c r="C31"/>
  <c r="E31"/>
  <c r="F31"/>
  <c r="D32"/>
  <c r="G32"/>
  <c r="D33"/>
  <c r="G33"/>
  <c r="D34"/>
  <c r="G34"/>
  <c r="D35"/>
  <c r="G35"/>
  <c r="D36"/>
  <c r="G36"/>
  <c r="D37"/>
  <c r="G37"/>
  <c r="D38"/>
  <c r="G38"/>
  <c r="D39"/>
  <c r="G39"/>
  <c r="D40"/>
  <c r="G40"/>
  <c r="B42"/>
  <c r="C42"/>
  <c r="E42"/>
  <c r="F42"/>
  <c r="D43"/>
  <c r="G43"/>
  <c r="A2" i="147"/>
  <c r="F8"/>
  <c r="F12"/>
  <c r="F16"/>
  <c r="F9"/>
  <c r="F13"/>
  <c r="F14" s="1"/>
  <c r="F17"/>
  <c r="F21"/>
  <c r="G9" s="1"/>
  <c r="D10"/>
  <c r="E10"/>
  <c r="F10"/>
  <c r="F18"/>
  <c r="G13"/>
  <c r="D14"/>
  <c r="E14"/>
  <c r="D18"/>
  <c r="E18"/>
  <c r="D20"/>
  <c r="E20"/>
  <c r="D21"/>
  <c r="E21"/>
  <c r="E22"/>
  <c r="F28"/>
  <c r="F32"/>
  <c r="F36"/>
  <c r="F40"/>
  <c r="F44"/>
  <c r="F29"/>
  <c r="F33"/>
  <c r="F45" s="1"/>
  <c r="F37"/>
  <c r="F41"/>
  <c r="D30"/>
  <c r="E30"/>
  <c r="F30"/>
  <c r="F34"/>
  <c r="F38"/>
  <c r="F42"/>
  <c r="F46"/>
  <c r="G32"/>
  <c r="D34"/>
  <c r="E34"/>
  <c r="G34"/>
  <c r="D38"/>
  <c r="E38"/>
  <c r="G40"/>
  <c r="D42"/>
  <c r="E42"/>
  <c r="G42"/>
  <c r="D44"/>
  <c r="E44"/>
  <c r="D45"/>
  <c r="D46" s="1"/>
  <c r="E45"/>
  <c r="E46"/>
  <c r="A2" i="145"/>
  <c r="B8"/>
  <c r="D8"/>
  <c r="E8"/>
  <c r="F8"/>
  <c r="G8"/>
  <c r="H8"/>
  <c r="I8"/>
  <c r="J8"/>
  <c r="K8"/>
  <c r="L8"/>
  <c r="N8"/>
  <c r="P8"/>
  <c r="E9"/>
  <c r="G9"/>
  <c r="I9"/>
  <c r="K9"/>
  <c r="R9"/>
  <c r="C9" s="1"/>
  <c r="E10"/>
  <c r="G10"/>
  <c r="I10"/>
  <c r="K10"/>
  <c r="Q10"/>
  <c r="R10"/>
  <c r="C10" s="1"/>
  <c r="E11"/>
  <c r="G11"/>
  <c r="I11"/>
  <c r="K11"/>
  <c r="R11"/>
  <c r="C11" s="1"/>
  <c r="E12"/>
  <c r="G12"/>
  <c r="I12"/>
  <c r="K12"/>
  <c r="Q12"/>
  <c r="R12"/>
  <c r="C12" s="1"/>
  <c r="E13"/>
  <c r="G13"/>
  <c r="I13"/>
  <c r="K13"/>
  <c r="R13"/>
  <c r="C13" s="1"/>
  <c r="E14"/>
  <c r="G14"/>
  <c r="I14"/>
  <c r="K14"/>
  <c r="Q14"/>
  <c r="R14"/>
  <c r="C14" s="1"/>
  <c r="E15"/>
  <c r="G15"/>
  <c r="I15"/>
  <c r="K15"/>
  <c r="R15"/>
  <c r="C15" s="1"/>
  <c r="E16"/>
  <c r="G16"/>
  <c r="I16"/>
  <c r="K16"/>
  <c r="Q16"/>
  <c r="R16"/>
  <c r="C16" s="1"/>
  <c r="E17"/>
  <c r="G17"/>
  <c r="I17"/>
  <c r="K17"/>
  <c r="R17"/>
  <c r="C17" s="1"/>
  <c r="B18"/>
  <c r="D18"/>
  <c r="E18" s="1"/>
  <c r="F18"/>
  <c r="G18" s="1"/>
  <c r="H18"/>
  <c r="I18" s="1"/>
  <c r="J18"/>
  <c r="K18" s="1"/>
  <c r="L18"/>
  <c r="N18"/>
  <c r="P18"/>
  <c r="E19"/>
  <c r="G19"/>
  <c r="I19"/>
  <c r="K19"/>
  <c r="R19"/>
  <c r="C19" s="1"/>
  <c r="E20"/>
  <c r="G20"/>
  <c r="I20"/>
  <c r="K20"/>
  <c r="R20"/>
  <c r="C20" s="1"/>
  <c r="E21"/>
  <c r="G21"/>
  <c r="I21"/>
  <c r="K21"/>
  <c r="R21"/>
  <c r="C21" s="1"/>
  <c r="E22"/>
  <c r="G22"/>
  <c r="I22"/>
  <c r="K22"/>
  <c r="R22"/>
  <c r="C22" s="1"/>
  <c r="E23"/>
  <c r="G23"/>
  <c r="I23"/>
  <c r="K23"/>
  <c r="R23"/>
  <c r="C23" s="1"/>
  <c r="E24"/>
  <c r="G24"/>
  <c r="I24"/>
  <c r="K24"/>
  <c r="R24"/>
  <c r="C24" s="1"/>
  <c r="B34"/>
  <c r="D34"/>
  <c r="E34" s="1"/>
  <c r="F34"/>
  <c r="G34" s="1"/>
  <c r="H34"/>
  <c r="I34" s="1"/>
  <c r="J34"/>
  <c r="K34" s="1"/>
  <c r="L34"/>
  <c r="N34"/>
  <c r="P34"/>
  <c r="E35"/>
  <c r="G35"/>
  <c r="I35"/>
  <c r="K35"/>
  <c r="R35"/>
  <c r="C35" s="1"/>
  <c r="E36"/>
  <c r="G36"/>
  <c r="I36"/>
  <c r="K36"/>
  <c r="R36"/>
  <c r="C36" s="1"/>
  <c r="E37"/>
  <c r="G37"/>
  <c r="I37"/>
  <c r="K37"/>
  <c r="R37"/>
  <c r="C37" s="1"/>
  <c r="E38"/>
  <c r="G38"/>
  <c r="I38"/>
  <c r="K38"/>
  <c r="R38"/>
  <c r="C38" s="1"/>
  <c r="E39"/>
  <c r="G39"/>
  <c r="I39"/>
  <c r="K39"/>
  <c r="R39"/>
  <c r="C39" s="1"/>
  <c r="E40"/>
  <c r="G40"/>
  <c r="I40"/>
  <c r="K40"/>
  <c r="R40"/>
  <c r="C40" s="1"/>
  <c r="B41"/>
  <c r="D41"/>
  <c r="E41"/>
  <c r="F41"/>
  <c r="G41"/>
  <c r="H41"/>
  <c r="I41"/>
  <c r="J41"/>
  <c r="K41"/>
  <c r="L41"/>
  <c r="N41"/>
  <c r="P41"/>
  <c r="E42"/>
  <c r="G42"/>
  <c r="I42"/>
  <c r="K42"/>
  <c r="R42"/>
  <c r="C42" s="1"/>
  <c r="E43"/>
  <c r="G43"/>
  <c r="I43"/>
  <c r="K43"/>
  <c r="Q43"/>
  <c r="R43"/>
  <c r="C43" s="1"/>
  <c r="E44"/>
  <c r="G44"/>
  <c r="I44"/>
  <c r="K44"/>
  <c r="R44"/>
  <c r="C44" s="1"/>
  <c r="E45"/>
  <c r="G45"/>
  <c r="I45"/>
  <c r="K45"/>
  <c r="Q45"/>
  <c r="R45"/>
  <c r="C45" s="1"/>
  <c r="E46"/>
  <c r="G46"/>
  <c r="I46"/>
  <c r="K46"/>
  <c r="R46"/>
  <c r="C46" s="1"/>
  <c r="E47"/>
  <c r="G47"/>
  <c r="I47"/>
  <c r="K47"/>
  <c r="Q47"/>
  <c r="R47"/>
  <c r="C47" s="1"/>
  <c r="E48"/>
  <c r="G48"/>
  <c r="I48"/>
  <c r="K48"/>
  <c r="R48"/>
  <c r="C48" s="1"/>
  <c r="E49"/>
  <c r="G49"/>
  <c r="I49"/>
  <c r="K49"/>
  <c r="Q49"/>
  <c r="R49"/>
  <c r="C49" s="1"/>
  <c r="E50"/>
  <c r="G50"/>
  <c r="I50"/>
  <c r="K50"/>
  <c r="R50"/>
  <c r="C50" s="1"/>
  <c r="B51"/>
  <c r="D51"/>
  <c r="E51" s="1"/>
  <c r="F51"/>
  <c r="G51" s="1"/>
  <c r="H51"/>
  <c r="I51" s="1"/>
  <c r="J51"/>
  <c r="K51" s="1"/>
  <c r="L51"/>
  <c r="N51"/>
  <c r="P51"/>
  <c r="A2" i="139"/>
  <c r="C7"/>
  <c r="D7"/>
  <c r="E8"/>
  <c r="F8" s="1"/>
  <c r="E9"/>
  <c r="F9" s="1"/>
  <c r="G9"/>
  <c r="E10"/>
  <c r="F10" s="1"/>
  <c r="G10"/>
  <c r="E11"/>
  <c r="F11"/>
  <c r="G11"/>
  <c r="E12"/>
  <c r="F12" s="1"/>
  <c r="E13"/>
  <c r="F13" s="1"/>
  <c r="G13"/>
  <c r="E14"/>
  <c r="F14" s="1"/>
  <c r="G14"/>
  <c r="E15"/>
  <c r="F15"/>
  <c r="G15"/>
  <c r="E16"/>
  <c r="F16" s="1"/>
  <c r="E17"/>
  <c r="F17" s="1"/>
  <c r="G17"/>
  <c r="E18"/>
  <c r="F18" s="1"/>
  <c r="G18"/>
  <c r="E19"/>
  <c r="F19"/>
  <c r="G19"/>
  <c r="E20"/>
  <c r="F20" s="1"/>
  <c r="C21"/>
  <c r="D21"/>
  <c r="E22"/>
  <c r="E21" s="1"/>
  <c r="E23"/>
  <c r="F23" s="1"/>
  <c r="E24"/>
  <c r="G24" s="1"/>
  <c r="E25"/>
  <c r="F25" s="1"/>
  <c r="E26"/>
  <c r="F26" s="1"/>
  <c r="G22"/>
  <c r="G23"/>
  <c r="F24"/>
  <c r="G25"/>
  <c r="G26"/>
  <c r="C27"/>
  <c r="D27"/>
  <c r="E27" s="1"/>
  <c r="F27" s="1"/>
  <c r="E28"/>
  <c r="F28" s="1"/>
  <c r="G28"/>
  <c r="E29"/>
  <c r="F29"/>
  <c r="G29"/>
  <c r="E30"/>
  <c r="F30" s="1"/>
  <c r="C31"/>
  <c r="D31"/>
  <c r="E32"/>
  <c r="F32" s="1"/>
  <c r="E33"/>
  <c r="F33" s="1"/>
  <c r="G33"/>
  <c r="E34"/>
  <c r="F34" s="1"/>
  <c r="G34"/>
  <c r="E35"/>
  <c r="F35"/>
  <c r="G35"/>
  <c r="C36"/>
  <c r="B26" i="142"/>
  <c r="C8"/>
  <c r="D26"/>
  <c r="E8"/>
  <c r="F8"/>
  <c r="F9"/>
  <c r="F10"/>
  <c r="F11"/>
  <c r="F12"/>
  <c r="F13"/>
  <c r="F14"/>
  <c r="F15"/>
  <c r="F16"/>
  <c r="F17"/>
  <c r="F18"/>
  <c r="F19"/>
  <c r="F20"/>
  <c r="F21"/>
  <c r="F22"/>
  <c r="F23"/>
  <c r="F24"/>
  <c r="F25"/>
  <c r="H26"/>
  <c r="I8"/>
  <c r="J26"/>
  <c r="K8"/>
  <c r="L8"/>
  <c r="L9"/>
  <c r="L10"/>
  <c r="L11"/>
  <c r="L12"/>
  <c r="L13"/>
  <c r="L14"/>
  <c r="L15"/>
  <c r="L16"/>
  <c r="L17"/>
  <c r="L18"/>
  <c r="L19"/>
  <c r="L20"/>
  <c r="L21"/>
  <c r="L22"/>
  <c r="L23"/>
  <c r="L24"/>
  <c r="L25"/>
  <c r="N8"/>
  <c r="N9"/>
  <c r="N10"/>
  <c r="N11"/>
  <c r="N12"/>
  <c r="N13"/>
  <c r="N14"/>
  <c r="N15"/>
  <c r="N16"/>
  <c r="N17"/>
  <c r="N18"/>
  <c r="N19"/>
  <c r="N20"/>
  <c r="N21"/>
  <c r="N22"/>
  <c r="N23"/>
  <c r="N24"/>
  <c r="N25"/>
  <c r="P8"/>
  <c r="P9"/>
  <c r="P10"/>
  <c r="P11"/>
  <c r="P12"/>
  <c r="P13"/>
  <c r="P14"/>
  <c r="P15"/>
  <c r="P16"/>
  <c r="P17"/>
  <c r="P18"/>
  <c r="P19"/>
  <c r="P20"/>
  <c r="P21"/>
  <c r="P22"/>
  <c r="P23"/>
  <c r="P24"/>
  <c r="P25"/>
  <c r="R8"/>
  <c r="R9"/>
  <c r="R10"/>
  <c r="R11"/>
  <c r="R12"/>
  <c r="R13"/>
  <c r="R14"/>
  <c r="R15"/>
  <c r="R16"/>
  <c r="R17"/>
  <c r="R18"/>
  <c r="R19"/>
  <c r="R20"/>
  <c r="R21"/>
  <c r="R22"/>
  <c r="R23"/>
  <c r="R24"/>
  <c r="R25"/>
  <c r="C9"/>
  <c r="E9"/>
  <c r="I9"/>
  <c r="K9"/>
  <c r="C10"/>
  <c r="E10"/>
  <c r="I10"/>
  <c r="K10"/>
  <c r="C11"/>
  <c r="E11"/>
  <c r="I11"/>
  <c r="K11"/>
  <c r="C12"/>
  <c r="E12"/>
  <c r="I12"/>
  <c r="K12"/>
  <c r="C13"/>
  <c r="E13"/>
  <c r="I13"/>
  <c r="K13"/>
  <c r="C14"/>
  <c r="E14"/>
  <c r="I14"/>
  <c r="K14"/>
  <c r="C15"/>
  <c r="E15"/>
  <c r="I15"/>
  <c r="K15"/>
  <c r="C16"/>
  <c r="E16"/>
  <c r="I16"/>
  <c r="K16"/>
  <c r="C17"/>
  <c r="E17"/>
  <c r="I17"/>
  <c r="K17"/>
  <c r="C18"/>
  <c r="E18"/>
  <c r="I18"/>
  <c r="K18"/>
  <c r="C19"/>
  <c r="E19"/>
  <c r="I19"/>
  <c r="K19"/>
  <c r="C20"/>
  <c r="E20"/>
  <c r="I20"/>
  <c r="K20"/>
  <c r="C21"/>
  <c r="E21"/>
  <c r="I21"/>
  <c r="K21"/>
  <c r="C22"/>
  <c r="E22"/>
  <c r="I22"/>
  <c r="K22"/>
  <c r="C23"/>
  <c r="E23"/>
  <c r="I23"/>
  <c r="K23"/>
  <c r="C24"/>
  <c r="E24"/>
  <c r="I24"/>
  <c r="K24"/>
  <c r="C25"/>
  <c r="E25"/>
  <c r="I25"/>
  <c r="K25"/>
  <c r="C26"/>
  <c r="K26"/>
  <c r="B26" i="15"/>
  <c r="C8"/>
  <c r="D26"/>
  <c r="E8"/>
  <c r="F8"/>
  <c r="F9"/>
  <c r="F10"/>
  <c r="F11"/>
  <c r="F12"/>
  <c r="F13"/>
  <c r="F14"/>
  <c r="F15"/>
  <c r="F16"/>
  <c r="F17"/>
  <c r="F18"/>
  <c r="F19"/>
  <c r="F20"/>
  <c r="F21"/>
  <c r="F22"/>
  <c r="F23"/>
  <c r="F24"/>
  <c r="F25"/>
  <c r="H26"/>
  <c r="I8"/>
  <c r="J26"/>
  <c r="K8"/>
  <c r="L8"/>
  <c r="L9"/>
  <c r="L10"/>
  <c r="L11"/>
  <c r="L12"/>
  <c r="L13"/>
  <c r="L14"/>
  <c r="L15"/>
  <c r="L16"/>
  <c r="L17"/>
  <c r="L18"/>
  <c r="L19"/>
  <c r="L20"/>
  <c r="L21"/>
  <c r="L22"/>
  <c r="L23"/>
  <c r="L24"/>
  <c r="L25"/>
  <c r="N8"/>
  <c r="N9"/>
  <c r="N10"/>
  <c r="N11"/>
  <c r="N12"/>
  <c r="N13"/>
  <c r="N14"/>
  <c r="N15"/>
  <c r="N16"/>
  <c r="N17"/>
  <c r="N18"/>
  <c r="N19"/>
  <c r="N20"/>
  <c r="N21"/>
  <c r="N22"/>
  <c r="N23"/>
  <c r="N24"/>
  <c r="N25"/>
  <c r="P8"/>
  <c r="P9"/>
  <c r="P10"/>
  <c r="P11"/>
  <c r="P12"/>
  <c r="P13"/>
  <c r="P14"/>
  <c r="P15"/>
  <c r="P16"/>
  <c r="P17"/>
  <c r="P18"/>
  <c r="P19"/>
  <c r="P20"/>
  <c r="P21"/>
  <c r="P22"/>
  <c r="P23"/>
  <c r="P24"/>
  <c r="P25"/>
  <c r="R8"/>
  <c r="R9"/>
  <c r="R10"/>
  <c r="R11"/>
  <c r="R12"/>
  <c r="R13"/>
  <c r="R14"/>
  <c r="R15"/>
  <c r="R16"/>
  <c r="R17"/>
  <c r="R18"/>
  <c r="R19"/>
  <c r="R20"/>
  <c r="R21"/>
  <c r="R22"/>
  <c r="R23"/>
  <c r="R24"/>
  <c r="R25"/>
  <c r="C9"/>
  <c r="E9"/>
  <c r="I9"/>
  <c r="K9"/>
  <c r="C10"/>
  <c r="E10"/>
  <c r="I10"/>
  <c r="K10"/>
  <c r="C11"/>
  <c r="E11"/>
  <c r="I11"/>
  <c r="K11"/>
  <c r="C12"/>
  <c r="E12"/>
  <c r="I12"/>
  <c r="K12"/>
  <c r="C13"/>
  <c r="E13"/>
  <c r="I13"/>
  <c r="K13"/>
  <c r="C14"/>
  <c r="E14"/>
  <c r="I14"/>
  <c r="K14"/>
  <c r="C15"/>
  <c r="E15"/>
  <c r="I15"/>
  <c r="K15"/>
  <c r="C16"/>
  <c r="E16"/>
  <c r="I16"/>
  <c r="K16"/>
  <c r="C17"/>
  <c r="E17"/>
  <c r="I17"/>
  <c r="K17"/>
  <c r="C18"/>
  <c r="E18"/>
  <c r="I18"/>
  <c r="K18"/>
  <c r="C19"/>
  <c r="E19"/>
  <c r="I19"/>
  <c r="K19"/>
  <c r="C20"/>
  <c r="C26" s="1"/>
  <c r="E20"/>
  <c r="I20"/>
  <c r="K20"/>
  <c r="C21"/>
  <c r="E21"/>
  <c r="I21"/>
  <c r="K21"/>
  <c r="C22"/>
  <c r="E22"/>
  <c r="I22"/>
  <c r="K22"/>
  <c r="C23"/>
  <c r="E23"/>
  <c r="I23"/>
  <c r="K23"/>
  <c r="C24"/>
  <c r="E24"/>
  <c r="I24"/>
  <c r="K24"/>
  <c r="C25"/>
  <c r="E25"/>
  <c r="I25"/>
  <c r="K25"/>
  <c r="K26"/>
  <c r="A2" i="141"/>
  <c r="B7"/>
  <c r="C7"/>
  <c r="E7"/>
  <c r="F7"/>
  <c r="D8"/>
  <c r="G8"/>
  <c r="H8"/>
  <c r="I8"/>
  <c r="D9"/>
  <c r="G9"/>
  <c r="H9"/>
  <c r="I9"/>
  <c r="J9"/>
  <c r="D10"/>
  <c r="G10"/>
  <c r="H10"/>
  <c r="I10"/>
  <c r="J10" s="1"/>
  <c r="D11"/>
  <c r="G11"/>
  <c r="H11"/>
  <c r="I11"/>
  <c r="J11" s="1"/>
  <c r="D12"/>
  <c r="G12"/>
  <c r="H12"/>
  <c r="I12"/>
  <c r="D13"/>
  <c r="G13"/>
  <c r="H13"/>
  <c r="I13"/>
  <c r="J13"/>
  <c r="D14"/>
  <c r="G14"/>
  <c r="H14"/>
  <c r="I14"/>
  <c r="J14" s="1"/>
  <c r="D15"/>
  <c r="G15"/>
  <c r="H15"/>
  <c r="I15"/>
  <c r="J15" s="1"/>
  <c r="D16"/>
  <c r="G16"/>
  <c r="H16"/>
  <c r="I16"/>
  <c r="B17"/>
  <c r="C17"/>
  <c r="E17"/>
  <c r="F17"/>
  <c r="D18"/>
  <c r="G18"/>
  <c r="H18"/>
  <c r="I18"/>
  <c r="D19"/>
  <c r="G19"/>
  <c r="H19"/>
  <c r="I19"/>
  <c r="J19"/>
  <c r="D20"/>
  <c r="G20"/>
  <c r="H20"/>
  <c r="I20"/>
  <c r="J20" s="1"/>
  <c r="D21"/>
  <c r="G21"/>
  <c r="H21"/>
  <c r="I21"/>
  <c r="J21" s="1"/>
  <c r="D22"/>
  <c r="G22"/>
  <c r="H22"/>
  <c r="I22"/>
  <c r="D23"/>
  <c r="G23"/>
  <c r="H23"/>
  <c r="I23"/>
  <c r="J23"/>
  <c r="B24"/>
  <c r="C24"/>
  <c r="C41" s="1"/>
  <c r="E24"/>
  <c r="F24"/>
  <c r="D25"/>
  <c r="G25"/>
  <c r="H25"/>
  <c r="I25"/>
  <c r="J25" s="1"/>
  <c r="D26"/>
  <c r="G26"/>
  <c r="H26"/>
  <c r="I26"/>
  <c r="D27"/>
  <c r="G27"/>
  <c r="H27"/>
  <c r="I27"/>
  <c r="J27"/>
  <c r="D28"/>
  <c r="G28"/>
  <c r="H28"/>
  <c r="I28"/>
  <c r="J28" s="1"/>
  <c r="D29"/>
  <c r="G29"/>
  <c r="H29"/>
  <c r="I29"/>
  <c r="J29" s="1"/>
  <c r="D30"/>
  <c r="G30"/>
  <c r="H30"/>
  <c r="I30"/>
  <c r="B31"/>
  <c r="C31"/>
  <c r="E31"/>
  <c r="F31"/>
  <c r="D32"/>
  <c r="G32"/>
  <c r="H32"/>
  <c r="I32"/>
  <c r="D33"/>
  <c r="G33"/>
  <c r="H33"/>
  <c r="I33"/>
  <c r="J33"/>
  <c r="D34"/>
  <c r="G34"/>
  <c r="H34"/>
  <c r="I34"/>
  <c r="J34" s="1"/>
  <c r="D35"/>
  <c r="G35"/>
  <c r="H35"/>
  <c r="I35"/>
  <c r="J35" s="1"/>
  <c r="D36"/>
  <c r="G36"/>
  <c r="H36"/>
  <c r="I36"/>
  <c r="D37"/>
  <c r="G37"/>
  <c r="H37"/>
  <c r="I37"/>
  <c r="J37"/>
  <c r="D38"/>
  <c r="G38"/>
  <c r="H38"/>
  <c r="I38"/>
  <c r="J38" s="1"/>
  <c r="D39"/>
  <c r="G39"/>
  <c r="H39"/>
  <c r="I39"/>
  <c r="J39" s="1"/>
  <c r="D40"/>
  <c r="G40"/>
  <c r="H40"/>
  <c r="I40"/>
  <c r="B41"/>
  <c r="F41"/>
  <c r="A2" i="112"/>
  <c r="B7"/>
  <c r="C7"/>
  <c r="E7"/>
  <c r="F7"/>
  <c r="D8"/>
  <c r="G8"/>
  <c r="H8"/>
  <c r="I8"/>
  <c r="D9"/>
  <c r="G9"/>
  <c r="H9"/>
  <c r="I9"/>
  <c r="J9" s="1"/>
  <c r="D10"/>
  <c r="G10"/>
  <c r="H10"/>
  <c r="I10"/>
  <c r="D11"/>
  <c r="G11"/>
  <c r="H11"/>
  <c r="I11"/>
  <c r="J11"/>
  <c r="D12"/>
  <c r="G12"/>
  <c r="H12"/>
  <c r="I12"/>
  <c r="J12" s="1"/>
  <c r="D13"/>
  <c r="G13"/>
  <c r="H13"/>
  <c r="I13"/>
  <c r="J13" s="1"/>
  <c r="D14"/>
  <c r="G14"/>
  <c r="H14"/>
  <c r="I14"/>
  <c r="D15"/>
  <c r="G15"/>
  <c r="H15"/>
  <c r="I15"/>
  <c r="J15"/>
  <c r="B16"/>
  <c r="C16"/>
  <c r="E16"/>
  <c r="F16"/>
  <c r="D17"/>
  <c r="G17"/>
  <c r="H17"/>
  <c r="I17"/>
  <c r="J17" s="1"/>
  <c r="D18"/>
  <c r="G18"/>
  <c r="H18"/>
  <c r="I18"/>
  <c r="D19"/>
  <c r="G19"/>
  <c r="H19"/>
  <c r="I19"/>
  <c r="J19"/>
  <c r="D20"/>
  <c r="G20"/>
  <c r="H20"/>
  <c r="I20"/>
  <c r="J20" s="1"/>
  <c r="D21"/>
  <c r="G21"/>
  <c r="H21"/>
  <c r="I21"/>
  <c r="J21" s="1"/>
  <c r="D22"/>
  <c r="G22"/>
  <c r="H22"/>
  <c r="I22"/>
  <c r="B23"/>
  <c r="B40" s="1"/>
  <c r="C23"/>
  <c r="E23"/>
  <c r="F23"/>
  <c r="D24"/>
  <c r="G24"/>
  <c r="H24"/>
  <c r="I24"/>
  <c r="D25"/>
  <c r="G25"/>
  <c r="H25"/>
  <c r="I25"/>
  <c r="J25"/>
  <c r="D26"/>
  <c r="G26"/>
  <c r="H26"/>
  <c r="I26"/>
  <c r="J26" s="1"/>
  <c r="D27"/>
  <c r="G27"/>
  <c r="H27"/>
  <c r="I27"/>
  <c r="J27" s="1"/>
  <c r="D28"/>
  <c r="G28"/>
  <c r="H28"/>
  <c r="I28"/>
  <c r="D29"/>
  <c r="G29"/>
  <c r="H29"/>
  <c r="I29"/>
  <c r="J29"/>
  <c r="B30"/>
  <c r="C30"/>
  <c r="E30"/>
  <c r="F30"/>
  <c r="D31"/>
  <c r="G31"/>
  <c r="H31"/>
  <c r="I31"/>
  <c r="J31" s="1"/>
  <c r="D32"/>
  <c r="G32"/>
  <c r="H32"/>
  <c r="I32"/>
  <c r="D33"/>
  <c r="G33"/>
  <c r="H33"/>
  <c r="I33"/>
  <c r="J33"/>
  <c r="D34"/>
  <c r="G34"/>
  <c r="H34"/>
  <c r="I34"/>
  <c r="J34" s="1"/>
  <c r="D35"/>
  <c r="G35"/>
  <c r="H35"/>
  <c r="I35"/>
  <c r="J35" s="1"/>
  <c r="D36"/>
  <c r="G36"/>
  <c r="H36"/>
  <c r="I36"/>
  <c r="D37"/>
  <c r="G37"/>
  <c r="H37"/>
  <c r="I37"/>
  <c r="J37"/>
  <c r="D38"/>
  <c r="G38"/>
  <c r="H38"/>
  <c r="I38"/>
  <c r="J38" s="1"/>
  <c r="D39"/>
  <c r="G39"/>
  <c r="H39"/>
  <c r="I39"/>
  <c r="J39" s="1"/>
  <c r="C40"/>
  <c r="E40"/>
  <c r="A2" i="138"/>
  <c r="B6"/>
  <c r="C6"/>
  <c r="F6"/>
  <c r="H6"/>
  <c r="I6" s="1"/>
  <c r="B7"/>
  <c r="C7" s="1"/>
  <c r="F7"/>
  <c r="B8"/>
  <c r="C8"/>
  <c r="F8"/>
  <c r="H8"/>
  <c r="I8" s="1"/>
  <c r="B9"/>
  <c r="C9" s="1"/>
  <c r="F9"/>
  <c r="B10"/>
  <c r="C10"/>
  <c r="F10"/>
  <c r="H10"/>
  <c r="I10" s="1"/>
  <c r="B11"/>
  <c r="C11" s="1"/>
  <c r="F11"/>
  <c r="B12"/>
  <c r="C12"/>
  <c r="F12"/>
  <c r="H12"/>
  <c r="I12" s="1"/>
  <c r="B13"/>
  <c r="C13" s="1"/>
  <c r="F13"/>
  <c r="B14"/>
  <c r="C14"/>
  <c r="F14"/>
  <c r="H14"/>
  <c r="I14" s="1"/>
  <c r="B15"/>
  <c r="C15" s="1"/>
  <c r="F15"/>
  <c r="B16"/>
  <c r="C16"/>
  <c r="F16"/>
  <c r="H16"/>
  <c r="I16" s="1"/>
  <c r="C17"/>
  <c r="E17"/>
  <c r="F17" s="1"/>
  <c r="H17"/>
  <c r="I17" s="1"/>
  <c r="A2" i="9"/>
  <c r="B5"/>
  <c r="C5"/>
  <c r="D5" s="1"/>
  <c r="D6"/>
  <c r="D7"/>
  <c r="D8"/>
  <c r="D10"/>
  <c r="D11"/>
  <c r="D12"/>
  <c r="D13"/>
  <c r="D14"/>
  <c r="B15"/>
  <c r="C15"/>
  <c r="D16"/>
  <c r="D17"/>
  <c r="D18"/>
  <c r="D19"/>
  <c r="D20"/>
  <c r="D21"/>
  <c r="B22"/>
  <c r="C22"/>
  <c r="D23"/>
  <c r="D24"/>
  <c r="D25"/>
  <c r="D26"/>
  <c r="D27"/>
  <c r="D28"/>
  <c r="B29"/>
  <c r="C29"/>
  <c r="D30"/>
  <c r="D31"/>
  <c r="D32"/>
  <c r="D33"/>
  <c r="D34"/>
  <c r="D35"/>
  <c r="D36"/>
  <c r="D37"/>
  <c r="D38"/>
  <c r="A2" i="7"/>
  <c r="F13"/>
  <c r="F15"/>
  <c r="A20"/>
  <c r="A2" i="6"/>
  <c r="D8"/>
  <c r="E8"/>
  <c r="F8"/>
  <c r="G8"/>
  <c r="I8"/>
  <c r="J8"/>
  <c r="K8"/>
  <c r="L8"/>
  <c r="M8"/>
  <c r="N8"/>
  <c r="O8"/>
  <c r="P8"/>
  <c r="Q8"/>
  <c r="R9"/>
  <c r="R10"/>
  <c r="R11"/>
  <c r="R12"/>
  <c r="R13"/>
  <c r="R14"/>
  <c r="R15"/>
  <c r="R16"/>
  <c r="R17"/>
  <c r="D18"/>
  <c r="E18"/>
  <c r="F18"/>
  <c r="G18"/>
  <c r="I18"/>
  <c r="J18"/>
  <c r="K18"/>
  <c r="L18"/>
  <c r="M18"/>
  <c r="N18"/>
  <c r="O18"/>
  <c r="P18"/>
  <c r="Q18"/>
  <c r="R19"/>
  <c r="R20"/>
  <c r="R21"/>
  <c r="R22"/>
  <c r="R23"/>
  <c r="R24"/>
  <c r="D25"/>
  <c r="E25"/>
  <c r="F25"/>
  <c r="G25"/>
  <c r="H25"/>
  <c r="I25"/>
  <c r="J25"/>
  <c r="K25"/>
  <c r="L25"/>
  <c r="M25"/>
  <c r="N25"/>
  <c r="O25"/>
  <c r="P25"/>
  <c r="Q25"/>
  <c r="R26"/>
  <c r="R27"/>
  <c r="R28"/>
  <c r="R29"/>
  <c r="R30"/>
  <c r="R31"/>
  <c r="D32"/>
  <c r="E32"/>
  <c r="F32"/>
  <c r="G32"/>
  <c r="I32"/>
  <c r="J32"/>
  <c r="K32"/>
  <c r="K44" s="1"/>
  <c r="L32"/>
  <c r="M32"/>
  <c r="N32"/>
  <c r="O32"/>
  <c r="O44" s="1"/>
  <c r="P32"/>
  <c r="Q32"/>
  <c r="R33"/>
  <c r="R34"/>
  <c r="R35"/>
  <c r="R36"/>
  <c r="R39"/>
  <c r="R40"/>
  <c r="R41"/>
  <c r="R42"/>
  <c r="R43"/>
  <c r="B44"/>
  <c r="D7" i="1" s="1"/>
  <c r="E44" i="6"/>
  <c r="I44"/>
  <c r="M44"/>
  <c r="Q44"/>
  <c r="A2" i="4"/>
  <c r="B19"/>
  <c r="C19"/>
  <c r="D19"/>
  <c r="E19"/>
  <c r="F19"/>
  <c r="G19"/>
  <c r="H19"/>
  <c r="I19"/>
  <c r="J19"/>
  <c r="K19"/>
  <c r="A24"/>
  <c r="A2" i="2"/>
  <c r="A6"/>
  <c r="A10"/>
  <c r="C13"/>
  <c r="C27"/>
  <c r="H27"/>
  <c r="D26" i="1" s="1"/>
  <c r="A1"/>
  <c r="D5"/>
  <c r="B6"/>
  <c r="D6"/>
  <c r="B8"/>
  <c r="D8"/>
  <c r="B9"/>
  <c r="B10"/>
  <c r="D12"/>
  <c r="D14"/>
  <c r="B17"/>
  <c r="D17"/>
  <c r="D21"/>
  <c r="D22"/>
  <c r="D23"/>
  <c r="D24"/>
  <c r="B26"/>
  <c r="D27"/>
  <c r="D28"/>
  <c r="B30"/>
  <c r="B33"/>
  <c r="D33"/>
  <c r="D35"/>
  <c r="B37"/>
  <c r="B38"/>
  <c r="B40"/>
  <c r="B43"/>
  <c r="D43"/>
  <c r="D44"/>
  <c r="D45"/>
  <c r="D46"/>
  <c r="D47"/>
  <c r="D48"/>
  <c r="B49"/>
  <c r="D49"/>
  <c r="D50"/>
  <c r="D51"/>
  <c r="A54"/>
  <c r="B60"/>
  <c r="B64"/>
  <c r="B66"/>
  <c r="D66"/>
  <c r="B68"/>
  <c r="D68"/>
  <c r="D69"/>
  <c r="B75"/>
  <c r="D75"/>
  <c r="B77"/>
  <c r="D77"/>
  <c r="D78"/>
  <c r="D81"/>
  <c r="D84"/>
  <c r="A23" i="121"/>
  <c r="A19"/>
  <c r="X41" i="37" l="1"/>
  <c r="D41"/>
  <c r="V41"/>
  <c r="T41"/>
  <c r="N41"/>
  <c r="L41"/>
  <c r="J41"/>
  <c r="I41"/>
  <c r="G41"/>
  <c r="E41"/>
  <c r="D9" i="40"/>
  <c r="C12" i="23"/>
  <c r="I12"/>
  <c r="G12"/>
  <c r="J40"/>
  <c r="J14"/>
  <c r="G32" i="46"/>
  <c r="F21" i="59"/>
  <c r="D21"/>
  <c r="C21"/>
  <c r="S41" i="37"/>
  <c r="R41"/>
  <c r="Y41"/>
  <c r="B11" i="124"/>
  <c r="D36" i="26"/>
  <c r="D29"/>
  <c r="B10" i="25"/>
  <c r="H12" i="23"/>
  <c r="D12"/>
  <c r="E12"/>
  <c r="J47"/>
  <c r="K12"/>
  <c r="D40" i="1" s="1"/>
  <c r="J12" i="23"/>
  <c r="D37" i="1" s="1"/>
  <c r="P44" i="6"/>
  <c r="N44"/>
  <c r="L44"/>
  <c r="D11" i="1" s="1"/>
  <c r="G44" i="6"/>
  <c r="D9" i="1" s="1"/>
  <c r="J44" i="6"/>
  <c r="D10" i="1" s="1"/>
  <c r="D10" i="77"/>
  <c r="F10"/>
  <c r="B10"/>
  <c r="C9" i="40"/>
  <c r="F21" i="139"/>
  <c r="G21"/>
  <c r="G33" i="147"/>
  <c r="G37"/>
  <c r="R25" i="6"/>
  <c r="R8"/>
  <c r="H23" i="112"/>
  <c r="D23"/>
  <c r="I7"/>
  <c r="G7"/>
  <c r="H31" i="141"/>
  <c r="D31"/>
  <c r="H17"/>
  <c r="D17"/>
  <c r="H7"/>
  <c r="R26" i="15"/>
  <c r="S19" s="1"/>
  <c r="P26"/>
  <c r="O19"/>
  <c r="O15"/>
  <c r="O11"/>
  <c r="N26"/>
  <c r="L26"/>
  <c r="F26"/>
  <c r="G15" s="1"/>
  <c r="E26" i="142"/>
  <c r="R26"/>
  <c r="S25" s="1"/>
  <c r="P26"/>
  <c r="O23"/>
  <c r="O19"/>
  <c r="O15"/>
  <c r="O11"/>
  <c r="N26"/>
  <c r="O21" s="1"/>
  <c r="L26"/>
  <c r="G19"/>
  <c r="G15"/>
  <c r="G11"/>
  <c r="F26"/>
  <c r="G21" s="1"/>
  <c r="M39" i="145"/>
  <c r="M37"/>
  <c r="M35"/>
  <c r="M24"/>
  <c r="M22"/>
  <c r="M20"/>
  <c r="G38" i="147"/>
  <c r="G30"/>
  <c r="G36"/>
  <c r="G28"/>
  <c r="D22"/>
  <c r="D31" i="149"/>
  <c r="D24"/>
  <c r="D17"/>
  <c r="D7"/>
  <c r="AC30" i="127"/>
  <c r="AC7"/>
  <c r="K14" i="150"/>
  <c r="H15"/>
  <c r="K10"/>
  <c r="L12" i="23"/>
  <c r="E45" i="24"/>
  <c r="H11"/>
  <c r="F11"/>
  <c r="B11"/>
  <c r="D38" i="1" s="1"/>
  <c r="E10" i="25"/>
  <c r="E38" i="124"/>
  <c r="E24"/>
  <c r="C11"/>
  <c r="J17" i="28"/>
  <c r="M8" i="30"/>
  <c r="M18" i="31"/>
  <c r="C10" i="39"/>
  <c r="H10" i="60"/>
  <c r="F10"/>
  <c r="D10"/>
  <c r="B10"/>
  <c r="J10" i="93"/>
  <c r="B10" i="84"/>
  <c r="D83" i="1" s="1"/>
  <c r="I29" i="133"/>
  <c r="I27"/>
  <c r="I25"/>
  <c r="Q23"/>
  <c r="M23"/>
  <c r="E23"/>
  <c r="I21"/>
  <c r="M19"/>
  <c r="E19"/>
  <c r="Q17"/>
  <c r="M17"/>
  <c r="E17"/>
  <c r="Q15"/>
  <c r="M15"/>
  <c r="E15"/>
  <c r="M13"/>
  <c r="E13"/>
  <c r="M9"/>
  <c r="E9"/>
  <c r="M7"/>
  <c r="E7"/>
  <c r="F28" i="99"/>
  <c r="R26"/>
  <c r="F26"/>
  <c r="J24"/>
  <c r="J20"/>
  <c r="F18"/>
  <c r="T18" s="1"/>
  <c r="R16"/>
  <c r="R32" i="6"/>
  <c r="F44"/>
  <c r="D15" i="1" s="1"/>
  <c r="D44" i="6"/>
  <c r="D13" i="1" s="1"/>
  <c r="R18" i="6"/>
  <c r="D29" i="9"/>
  <c r="D22"/>
  <c r="D15"/>
  <c r="J36" i="112"/>
  <c r="J32"/>
  <c r="G30"/>
  <c r="H30"/>
  <c r="D30"/>
  <c r="J28"/>
  <c r="I23"/>
  <c r="G23"/>
  <c r="F40"/>
  <c r="J22"/>
  <c r="J18"/>
  <c r="G16"/>
  <c r="H16"/>
  <c r="D16"/>
  <c r="J14"/>
  <c r="J10"/>
  <c r="H7"/>
  <c r="D7"/>
  <c r="J40" i="141"/>
  <c r="J36"/>
  <c r="I31"/>
  <c r="G31"/>
  <c r="J30"/>
  <c r="J26"/>
  <c r="G24"/>
  <c r="H24"/>
  <c r="D24"/>
  <c r="E41"/>
  <c r="J22"/>
  <c r="I17"/>
  <c r="G17"/>
  <c r="J16"/>
  <c r="J12"/>
  <c r="D7"/>
  <c r="I26" i="142"/>
  <c r="G32" i="139"/>
  <c r="E31"/>
  <c r="F31" s="1"/>
  <c r="G30"/>
  <c r="F22"/>
  <c r="G20"/>
  <c r="G16"/>
  <c r="G12"/>
  <c r="G8"/>
  <c r="E7"/>
  <c r="M49" i="145"/>
  <c r="M47"/>
  <c r="M45"/>
  <c r="M43"/>
  <c r="Q39"/>
  <c r="Q37"/>
  <c r="Q35"/>
  <c r="R34"/>
  <c r="M34" s="1"/>
  <c r="C34"/>
  <c r="Q24"/>
  <c r="Q22"/>
  <c r="Q20"/>
  <c r="M16"/>
  <c r="M14"/>
  <c r="M12"/>
  <c r="M10"/>
  <c r="G29" i="147"/>
  <c r="F20"/>
  <c r="G31" i="149"/>
  <c r="G24"/>
  <c r="G17"/>
  <c r="G7"/>
  <c r="AB30" i="127"/>
  <c r="AA7"/>
  <c r="AA40" s="1"/>
  <c r="D11" i="24"/>
  <c r="I11"/>
  <c r="G11"/>
  <c r="C11"/>
  <c r="F10" i="25"/>
  <c r="C10"/>
  <c r="B10" i="26"/>
  <c r="E31" i="124"/>
  <c r="E14"/>
  <c r="D11"/>
  <c r="I7" i="27"/>
  <c r="J7" i="28"/>
  <c r="J35" s="1"/>
  <c r="N8" i="30"/>
  <c r="N18" i="31"/>
  <c r="N8"/>
  <c r="I7" i="33"/>
  <c r="J17" i="34"/>
  <c r="J7"/>
  <c r="B10" i="39"/>
  <c r="I10" i="60"/>
  <c r="G10"/>
  <c r="E10"/>
  <c r="C10"/>
  <c r="E36" i="130"/>
  <c r="C36"/>
  <c r="G10" i="77"/>
  <c r="E10"/>
  <c r="C10"/>
  <c r="I23" i="133"/>
  <c r="I17"/>
  <c r="I15"/>
  <c r="J28" i="99"/>
  <c r="J26"/>
  <c r="N24"/>
  <c r="F24"/>
  <c r="F22"/>
  <c r="T22" s="1"/>
  <c r="F20"/>
  <c r="T20" s="1"/>
  <c r="R44" i="6"/>
  <c r="G40" i="112"/>
  <c r="H41" i="141"/>
  <c r="J30" i="112"/>
  <c r="J16"/>
  <c r="H40"/>
  <c r="D40"/>
  <c r="J24" i="141"/>
  <c r="D41"/>
  <c r="I7"/>
  <c r="J8"/>
  <c r="J7" s="1"/>
  <c r="S8" i="15"/>
  <c r="S10"/>
  <c r="S12"/>
  <c r="S14"/>
  <c r="S16"/>
  <c r="S23"/>
  <c r="S25"/>
  <c r="Q8"/>
  <c r="Q9"/>
  <c r="Q11"/>
  <c r="Q13"/>
  <c r="Q15"/>
  <c r="Q10"/>
  <c r="Q12"/>
  <c r="Q14"/>
  <c r="Q16"/>
  <c r="Q18"/>
  <c r="Q20"/>
  <c r="Q22"/>
  <c r="Q24"/>
  <c r="O8"/>
  <c r="O10"/>
  <c r="O12"/>
  <c r="O14"/>
  <c r="O16"/>
  <c r="O21"/>
  <c r="O23"/>
  <c r="O25"/>
  <c r="M8"/>
  <c r="M9"/>
  <c r="M11"/>
  <c r="M13"/>
  <c r="M15"/>
  <c r="M17"/>
  <c r="M10"/>
  <c r="M12"/>
  <c r="M14"/>
  <c r="M16"/>
  <c r="M18"/>
  <c r="M20"/>
  <c r="M22"/>
  <c r="M24"/>
  <c r="G8"/>
  <c r="G10"/>
  <c r="G12"/>
  <c r="G14"/>
  <c r="G16"/>
  <c r="G17"/>
  <c r="G19"/>
  <c r="G21"/>
  <c r="G23"/>
  <c r="G25"/>
  <c r="S8" i="142"/>
  <c r="S10"/>
  <c r="S12"/>
  <c r="S14"/>
  <c r="S16"/>
  <c r="S18"/>
  <c r="S20"/>
  <c r="S22"/>
  <c r="S24"/>
  <c r="Q8"/>
  <c r="Q9"/>
  <c r="Q11"/>
  <c r="Q13"/>
  <c r="Q15"/>
  <c r="Q17"/>
  <c r="Q19"/>
  <c r="Q21"/>
  <c r="Q23"/>
  <c r="Q25"/>
  <c r="Q10"/>
  <c r="Q12"/>
  <c r="Q14"/>
  <c r="Q16"/>
  <c r="Q18"/>
  <c r="Q20"/>
  <c r="Q22"/>
  <c r="Q24"/>
  <c r="O8"/>
  <c r="O10"/>
  <c r="O12"/>
  <c r="O14"/>
  <c r="O16"/>
  <c r="O18"/>
  <c r="O20"/>
  <c r="O22"/>
  <c r="O24"/>
  <c r="O25"/>
  <c r="M8"/>
  <c r="M9"/>
  <c r="M11"/>
  <c r="M13"/>
  <c r="M15"/>
  <c r="M17"/>
  <c r="M19"/>
  <c r="M21"/>
  <c r="M23"/>
  <c r="M25"/>
  <c r="M10"/>
  <c r="M12"/>
  <c r="M14"/>
  <c r="M16"/>
  <c r="M18"/>
  <c r="M20"/>
  <c r="M22"/>
  <c r="M24"/>
  <c r="G8"/>
  <c r="G10"/>
  <c r="G12"/>
  <c r="G14"/>
  <c r="G16"/>
  <c r="G18"/>
  <c r="G20"/>
  <c r="G22"/>
  <c r="G24"/>
  <c r="G23"/>
  <c r="G25"/>
  <c r="I30" i="112"/>
  <c r="I16"/>
  <c r="I24" i="141"/>
  <c r="G7"/>
  <c r="G41" s="1"/>
  <c r="E26" i="15"/>
  <c r="G46" i="147"/>
  <c r="G44"/>
  <c r="F22"/>
  <c r="F7" i="139"/>
  <c r="E36"/>
  <c r="F36" s="1"/>
  <c r="G8" i="147"/>
  <c r="G16"/>
  <c r="G12"/>
  <c r="G20"/>
  <c r="C39" i="9"/>
  <c r="H15" i="138"/>
  <c r="I15" s="1"/>
  <c r="H13"/>
  <c r="I13" s="1"/>
  <c r="H11"/>
  <c r="I11" s="1"/>
  <c r="H9"/>
  <c r="I9" s="1"/>
  <c r="H7"/>
  <c r="I7" s="1"/>
  <c r="J24" i="112"/>
  <c r="J23" s="1"/>
  <c r="J8"/>
  <c r="J7" s="1"/>
  <c r="J32" i="141"/>
  <c r="J31" s="1"/>
  <c r="J18"/>
  <c r="J17" s="1"/>
  <c r="Q25" i="15"/>
  <c r="S24"/>
  <c r="G24"/>
  <c r="M23"/>
  <c r="O22"/>
  <c r="Q21"/>
  <c r="S20"/>
  <c r="G20"/>
  <c r="M19"/>
  <c r="O18"/>
  <c r="Q17"/>
  <c r="I26"/>
  <c r="G14" i="147"/>
  <c r="S9" i="15"/>
  <c r="O9"/>
  <c r="G9"/>
  <c r="S9" i="142"/>
  <c r="O9"/>
  <c r="G9"/>
  <c r="D36" i="139"/>
  <c r="G36" s="1"/>
  <c r="G31"/>
  <c r="G27"/>
  <c r="G7"/>
  <c r="Q50" i="145"/>
  <c r="M50"/>
  <c r="O49"/>
  <c r="Q48"/>
  <c r="M48"/>
  <c r="O47"/>
  <c r="Q46"/>
  <c r="M46"/>
  <c r="O45"/>
  <c r="Q44"/>
  <c r="M44"/>
  <c r="O43"/>
  <c r="Q42"/>
  <c r="M42"/>
  <c r="R41"/>
  <c r="Q40"/>
  <c r="M40"/>
  <c r="O39"/>
  <c r="Q38"/>
  <c r="M38"/>
  <c r="O37"/>
  <c r="Q36"/>
  <c r="M36"/>
  <c r="O35"/>
  <c r="O24"/>
  <c r="Q23"/>
  <c r="M23"/>
  <c r="O22"/>
  <c r="Q21"/>
  <c r="M21"/>
  <c r="O20"/>
  <c r="Q19"/>
  <c r="M19"/>
  <c r="R18"/>
  <c r="Q17"/>
  <c r="M17"/>
  <c r="O16"/>
  <c r="Q15"/>
  <c r="M15"/>
  <c r="O14"/>
  <c r="Q13"/>
  <c r="M13"/>
  <c r="O12"/>
  <c r="Q11"/>
  <c r="M11"/>
  <c r="O10"/>
  <c r="Q9"/>
  <c r="M9"/>
  <c r="R8"/>
  <c r="G41" i="147"/>
  <c r="G45" s="1"/>
  <c r="G17"/>
  <c r="G21" s="1"/>
  <c r="D42" i="149"/>
  <c r="D44" s="1"/>
  <c r="AC40" i="127"/>
  <c r="M36" i="31"/>
  <c r="O50" i="145"/>
  <c r="O48"/>
  <c r="O46"/>
  <c r="O44"/>
  <c r="O42"/>
  <c r="O40"/>
  <c r="O38"/>
  <c r="O36"/>
  <c r="O23"/>
  <c r="O21"/>
  <c r="O19"/>
  <c r="O17"/>
  <c r="O15"/>
  <c r="O13"/>
  <c r="O11"/>
  <c r="O9"/>
  <c r="G42" i="149"/>
  <c r="G44" s="1"/>
  <c r="AB40" i="127"/>
  <c r="K15" i="150"/>
  <c r="N36" i="31"/>
  <c r="J35" i="34"/>
  <c r="J13" i="20"/>
  <c r="J12"/>
  <c r="J11"/>
  <c r="J10"/>
  <c r="J9"/>
  <c r="J8"/>
  <c r="J7"/>
  <c r="E13" i="24"/>
  <c r="D39" i="1" s="1"/>
  <c r="C10" i="26"/>
  <c r="G30" i="133"/>
  <c r="G28"/>
  <c r="K26"/>
  <c r="G26"/>
  <c r="G24"/>
  <c r="G22"/>
  <c r="K20"/>
  <c r="G20"/>
  <c r="K18"/>
  <c r="G18"/>
  <c r="G16"/>
  <c r="S16" s="1"/>
  <c r="G14"/>
  <c r="G12"/>
  <c r="K10"/>
  <c r="G10"/>
  <c r="O8"/>
  <c r="K8"/>
  <c r="G8"/>
  <c r="H29" i="99"/>
  <c r="H27"/>
  <c r="L25"/>
  <c r="H25"/>
  <c r="H23"/>
  <c r="H21"/>
  <c r="L19"/>
  <c r="H19"/>
  <c r="L17"/>
  <c r="H17"/>
  <c r="J16"/>
  <c r="F16"/>
  <c r="H15"/>
  <c r="T15" s="1"/>
  <c r="F14"/>
  <c r="T14" s="1"/>
  <c r="H13"/>
  <c r="J12"/>
  <c r="F12"/>
  <c r="H11"/>
  <c r="F10"/>
  <c r="T10" s="1"/>
  <c r="L9"/>
  <c r="H9"/>
  <c r="R8"/>
  <c r="N8"/>
  <c r="J8"/>
  <c r="F8"/>
  <c r="P7"/>
  <c r="L7"/>
  <c r="H7"/>
  <c r="N6"/>
  <c r="J6"/>
  <c r="F6"/>
  <c r="F13" i="20"/>
  <c r="F12"/>
  <c r="F11"/>
  <c r="F10"/>
  <c r="F9"/>
  <c r="F8"/>
  <c r="Q30" i="133"/>
  <c r="I30"/>
  <c r="K29"/>
  <c r="S29" s="1"/>
  <c r="Q28"/>
  <c r="I28"/>
  <c r="K27"/>
  <c r="S27" s="1"/>
  <c r="Q26"/>
  <c r="M26"/>
  <c r="I26"/>
  <c r="K25"/>
  <c r="S25" s="1"/>
  <c r="Q24"/>
  <c r="K23"/>
  <c r="S23" s="1"/>
  <c r="Q22"/>
  <c r="M22"/>
  <c r="I22"/>
  <c r="K21"/>
  <c r="S21" s="1"/>
  <c r="Q20"/>
  <c r="M20"/>
  <c r="I20"/>
  <c r="O19"/>
  <c r="K19"/>
  <c r="S19" s="1"/>
  <c r="Q18"/>
  <c r="K17"/>
  <c r="S17" s="1"/>
  <c r="K15"/>
  <c r="S15" s="1"/>
  <c r="Q14"/>
  <c r="M14"/>
  <c r="I14"/>
  <c r="O13"/>
  <c r="K13"/>
  <c r="S13" s="1"/>
  <c r="Q12"/>
  <c r="K11"/>
  <c r="S11" s="1"/>
  <c r="Q10"/>
  <c r="M10"/>
  <c r="I10"/>
  <c r="O9"/>
  <c r="K9"/>
  <c r="Q8"/>
  <c r="M8"/>
  <c r="I8"/>
  <c r="O7"/>
  <c r="K7"/>
  <c r="S7" s="1"/>
  <c r="R29" i="99"/>
  <c r="J29"/>
  <c r="P28"/>
  <c r="T28" s="1"/>
  <c r="R27"/>
  <c r="J27"/>
  <c r="P26"/>
  <c r="T26" s="1"/>
  <c r="R25"/>
  <c r="N25"/>
  <c r="J25"/>
  <c r="P24"/>
  <c r="L24"/>
  <c r="R23"/>
  <c r="R21"/>
  <c r="N21"/>
  <c r="J21"/>
  <c r="R19"/>
  <c r="N19"/>
  <c r="J19"/>
  <c r="R17"/>
  <c r="L16"/>
  <c r="R13"/>
  <c r="N13"/>
  <c r="J13"/>
  <c r="L12"/>
  <c r="R11"/>
  <c r="R9"/>
  <c r="N9"/>
  <c r="J9"/>
  <c r="P8"/>
  <c r="L8"/>
  <c r="R7"/>
  <c r="N7"/>
  <c r="J7"/>
  <c r="E11" i="124" l="1"/>
  <c r="D10" i="26"/>
  <c r="O24" i="15"/>
  <c r="O20"/>
  <c r="Q19"/>
  <c r="Q23"/>
  <c r="T24" i="99"/>
  <c r="S9" i="133"/>
  <c r="F15" i="20"/>
  <c r="T6" i="99"/>
  <c r="T9"/>
  <c r="T13"/>
  <c r="T23"/>
  <c r="T29"/>
  <c r="S10" i="133"/>
  <c r="S12"/>
  <c r="S24"/>
  <c r="S30"/>
  <c r="J40" i="112"/>
  <c r="I40"/>
  <c r="O34" i="145"/>
  <c r="Q34"/>
  <c r="G13" i="142"/>
  <c r="G17"/>
  <c r="O13"/>
  <c r="O17"/>
  <c r="S11"/>
  <c r="S15"/>
  <c r="S19"/>
  <c r="S23"/>
  <c r="G11" i="15"/>
  <c r="O13"/>
  <c r="O17"/>
  <c r="S11"/>
  <c r="S15"/>
  <c r="G18"/>
  <c r="G22"/>
  <c r="M21"/>
  <c r="M25"/>
  <c r="S22"/>
  <c r="S18"/>
  <c r="T7" i="99"/>
  <c r="T11"/>
  <c r="T17"/>
  <c r="T19"/>
  <c r="T21"/>
  <c r="T25"/>
  <c r="T27"/>
  <c r="S8" i="133"/>
  <c r="S14"/>
  <c r="S18"/>
  <c r="S20"/>
  <c r="S22"/>
  <c r="S26"/>
  <c r="S28"/>
  <c r="S13" i="142"/>
  <c r="S17"/>
  <c r="S21"/>
  <c r="G13" i="15"/>
  <c r="S13"/>
  <c r="S17"/>
  <c r="S21"/>
  <c r="C18" i="145"/>
  <c r="M18"/>
  <c r="O18"/>
  <c r="Q18"/>
  <c r="E5" i="9"/>
  <c r="E6"/>
  <c r="E7"/>
  <c r="E8"/>
  <c r="D18" i="1"/>
  <c r="D41" s="1"/>
  <c r="E9" i="9"/>
  <c r="E10"/>
  <c r="E11"/>
  <c r="E12"/>
  <c r="E13"/>
  <c r="E14"/>
  <c r="E15"/>
  <c r="E16"/>
  <c r="E17"/>
  <c r="E18"/>
  <c r="E19"/>
  <c r="E20"/>
  <c r="E21"/>
  <c r="E22"/>
  <c r="E23"/>
  <c r="E24"/>
  <c r="E25"/>
  <c r="E26"/>
  <c r="E27"/>
  <c r="E28"/>
  <c r="E29"/>
  <c r="E30"/>
  <c r="E31"/>
  <c r="E32"/>
  <c r="E33"/>
  <c r="E34"/>
  <c r="E35"/>
  <c r="E36"/>
  <c r="E37"/>
  <c r="E38"/>
  <c r="D39"/>
  <c r="D19" i="1" s="1"/>
  <c r="T16" i="99"/>
  <c r="J15" i="20"/>
  <c r="G26" i="142"/>
  <c r="M26"/>
  <c r="O26"/>
  <c r="Q26"/>
  <c r="Q26" i="15"/>
  <c r="J41" i="141"/>
  <c r="C8" i="145"/>
  <c r="M8"/>
  <c r="O8"/>
  <c r="Q8"/>
  <c r="R51"/>
  <c r="C41"/>
  <c r="M41"/>
  <c r="O41"/>
  <c r="Q41"/>
  <c r="G10" i="147"/>
  <c r="G18"/>
  <c r="T8" i="99"/>
  <c r="T12"/>
  <c r="S26" i="142"/>
  <c r="G26" i="15"/>
  <c r="M26"/>
  <c r="O26"/>
  <c r="S26"/>
  <c r="I41" i="141"/>
  <c r="G22" i="147" l="1"/>
  <c r="E39" i="9"/>
  <c r="C51" i="145"/>
  <c r="D30" i="1" s="1"/>
  <c r="M51" i="145"/>
  <c r="O51"/>
  <c r="Q51"/>
  <c r="D31" i="1" s="1"/>
</calcChain>
</file>

<file path=xl/sharedStrings.xml><?xml version="1.0" encoding="utf-8"?>
<sst xmlns="http://schemas.openxmlformats.org/spreadsheetml/2006/main" count="8567" uniqueCount="1745">
  <si>
    <r>
      <t xml:space="preserve"># </t>
    </r>
    <r>
      <rPr>
        <sz val="9"/>
        <rFont val="Arial"/>
        <family val="2"/>
      </rPr>
      <t>As per Census data, Kurkraul inhabited village is situated partly in Deshapran block and partly in Contai-III block</t>
    </r>
  </si>
  <si>
    <t>* As per Census data, Saorabere Jalpai inhabited village is situated partly in Nandakumar block and partly in Moyna block,  Terapara Jalpai inhabited village is situated partly in Nandakumar block and partly in Mahishadal block</t>
  </si>
  <si>
    <t>Source : Directorate of Agricultural Marketing, Govt. of W.B.</t>
  </si>
  <si>
    <t>Source : Bureau of Applied Economics &amp; Statistics, Govt. of W.B.</t>
  </si>
  <si>
    <t>Beds per lakh of Population (Census 2011)</t>
  </si>
  <si>
    <t>Source : Agricultural Meteorologist, Directorate of Agriculture, Govt. of W.B.</t>
  </si>
  <si>
    <t>805+1(P)</t>
  </si>
  <si>
    <t>312+1(P)</t>
  </si>
  <si>
    <t>12</t>
  </si>
  <si>
    <t>16</t>
  </si>
  <si>
    <t>19</t>
  </si>
  <si>
    <t>20</t>
  </si>
  <si>
    <t>22</t>
  </si>
  <si>
    <t>23</t>
  </si>
  <si>
    <t>24</t>
  </si>
  <si>
    <t>25</t>
  </si>
  <si>
    <t>28</t>
  </si>
  <si>
    <t>29</t>
  </si>
  <si>
    <t>33</t>
  </si>
  <si>
    <t>45</t>
  </si>
  <si>
    <t>52</t>
  </si>
  <si>
    <t xml:space="preserve">Divisional Engineer (E), R.E.Project,
 WBSEDCL. Purba Medinipur, </t>
  </si>
  <si>
    <t>Pradhan Mantri 
Gram Sadak Yojana</t>
  </si>
  <si>
    <t>Principal 
Market Yard</t>
  </si>
  <si>
    <t>Sub-Market
 Yard</t>
  </si>
  <si>
    <t>Class of
 Offence</t>
  </si>
  <si>
    <t>Name of
 Sub-division</t>
  </si>
  <si>
    <t>Name 
of Block</t>
  </si>
  <si>
    <t>No.of
 fertilizer
 depots</t>
  </si>
  <si>
    <t>No.of 
seed 
stores</t>
  </si>
  <si>
    <t>No.of
 fair price
 shops</t>
  </si>
  <si>
    <t>No.of gram panchayat 
offices with
 telephone facilities</t>
  </si>
  <si>
    <t>Name
 of Block</t>
  </si>
  <si>
    <t>Sl. 
 No.</t>
  </si>
  <si>
    <t>No. of
 Govt. 
Schemes 
operated</t>
  </si>
  <si>
    <t>Expen-
diture
(' 000 Rs.)</t>
  </si>
  <si>
    <t>Net area 
available 
for pisci-
culture
(hect.)</t>
  </si>
  <si>
    <t>Net area
  under 
effective 
pisci-
culture
(hect.)</t>
  </si>
  <si>
    <t xml:space="preserve">No. of 
persons
 engaged
 in the 
profession </t>
  </si>
  <si>
    <t>Approx.
annual
production
(qtl.)</t>
  </si>
  <si>
    <t>Canal
Area</t>
  </si>
  <si>
    <t>No. of Ferry
 Services</t>
  </si>
  <si>
    <t>No. of Originating / 
Terminating Bus routes</t>
  </si>
  <si>
    <t>Base : 2006-07= 100</t>
  </si>
  <si>
    <t>N.G.O./
 Private
 Bodies
 (Nursing
 Homes)</t>
  </si>
  <si>
    <t>Govt. of
 India
 including
 Central
 Govt.
 undertaking</t>
  </si>
  <si>
    <t>TABLE 3.2 (concld.)</t>
  </si>
  <si>
    <t>Poultry :</t>
  </si>
  <si>
    <t>DTW</t>
  </si>
  <si>
    <t>High capacity Deep Tubewell</t>
  </si>
  <si>
    <t>Middle capacity Deep Tubewell</t>
  </si>
  <si>
    <t>Low capacity Deep Tubewell</t>
  </si>
  <si>
    <t>Shallow Tubewell</t>
  </si>
  <si>
    <t>River Lift Irrigation</t>
  </si>
  <si>
    <t>Open Dug Well</t>
  </si>
  <si>
    <t>Hectare</t>
  </si>
  <si>
    <t xml:space="preserve">Note : HDTW = </t>
  </si>
  <si>
    <t>Amount of loan 
(Rs.in thousand)</t>
  </si>
  <si>
    <t xml:space="preserve">Local Bodies </t>
  </si>
  <si>
    <t>Rural
 Hospitals</t>
  </si>
  <si>
    <t>Block Primary Health Centres</t>
  </si>
  <si>
    <t xml:space="preserve"> Primary Health Centres</t>
  </si>
  <si>
    <t>Mulberry 
(Qtls)</t>
  </si>
  <si>
    <t>Upto 5 years</t>
  </si>
  <si>
    <t>Above 5 years</t>
  </si>
  <si>
    <t>Capacity (MT)</t>
  </si>
  <si>
    <t>Assistance to Old-aged Persons, Widows and Handicapped</t>
  </si>
  <si>
    <t>Progress of Statutory and Modified Ration Shops</t>
  </si>
  <si>
    <t>Post &amp; Telegraph Offices</t>
  </si>
  <si>
    <t>Strength of Police Force by category</t>
  </si>
  <si>
    <t>Mean Maximum and Mean Minimum Temperature by month</t>
  </si>
  <si>
    <t>District Library Officer, Purba Medinipur</t>
  </si>
  <si>
    <t>All B.D.O.s &amp; Chairmen of Municipalities,</t>
  </si>
  <si>
    <t>Jana Shikshan Sansthan</t>
  </si>
  <si>
    <t>Rice (Common)</t>
  </si>
  <si>
    <t>Wheat (Sonalika)</t>
  </si>
  <si>
    <t>Urid (Deshi-split)</t>
  </si>
  <si>
    <t>Potato (Jyoti)</t>
  </si>
  <si>
    <t>Brinjal (Big)</t>
  </si>
  <si>
    <t>Egg (Hen,Deshi)</t>
  </si>
  <si>
    <t xml:space="preserve">Cow (Medium) Deshi </t>
  </si>
  <si>
    <t xml:space="preserve">Cow (Milch) Deshi  </t>
  </si>
  <si>
    <t>Cow (Milk)</t>
  </si>
  <si>
    <t>Cow (Skin) (15Kgs)</t>
  </si>
  <si>
    <t>Goat (Alive) (10Kgs)</t>
  </si>
  <si>
    <t>Sheep (Alive) (10Kgs)</t>
  </si>
  <si>
    <t>Jute (TD-5)</t>
  </si>
  <si>
    <t>Gur (Sugarcane)</t>
  </si>
  <si>
    <t>Tuberose (Sticks)</t>
  </si>
  <si>
    <t>Cauliflower (Big)</t>
  </si>
  <si>
    <t>Aspara grass</t>
  </si>
  <si>
    <t>Public Libraries, Reading Rooms and Mass Literacy Centres</t>
  </si>
  <si>
    <t>Classification of Land Utilization Statistics</t>
  </si>
  <si>
    <t>Area of Vested Agricultural Land distributed &amp; Number of Beneficiaries</t>
  </si>
  <si>
    <t>General Educational Institutions by type</t>
  </si>
  <si>
    <t>Professional &amp; Technical Educational Institutions by type</t>
  </si>
  <si>
    <t xml:space="preserve">Special &amp; Non-formal Educational Institutions by type </t>
  </si>
  <si>
    <t>Area &amp; Production of Fruits and Vegetables</t>
  </si>
  <si>
    <t>Classification of Forest Area,Out-turn of Forest Produce, Revenue &amp; Expenditure</t>
  </si>
  <si>
    <t>Length of Roads maintained by P.W.D., Zilla Parishad &amp; Panchayat</t>
  </si>
  <si>
    <t>Veterinary Hospitals, Veterinary Personnel &amp; Cases treated</t>
  </si>
  <si>
    <t>Cattle :</t>
  </si>
  <si>
    <t>Cows</t>
  </si>
  <si>
    <t>5) District Social Education Officer</t>
  </si>
  <si>
    <t>Annual Rainfall</t>
  </si>
  <si>
    <t>Sub-centres</t>
  </si>
  <si>
    <t>Net Collection from Small Savings</t>
  </si>
  <si>
    <t>Applicants on Live-register</t>
  </si>
  <si>
    <t>Micro &amp; Small Scale Enterprises</t>
  </si>
  <si>
    <t>* As per Agricultural Census (2010-11)</t>
  </si>
  <si>
    <t>Tamluk, Purba Medinipur</t>
  </si>
  <si>
    <t xml:space="preserve">               </t>
  </si>
  <si>
    <t>Source : Assistant Director of Fisheries, Contai, Purba Medinipur</t>
  </si>
  <si>
    <t>University (Gen. &amp; Tech.)</t>
  </si>
  <si>
    <t>Kg. per hect.</t>
  </si>
  <si>
    <t>2)  Asstt. Engr.,  Agri. (Mech.) /
 Agri. (Irrigation), Purba Medinipur</t>
  </si>
  <si>
    <t>Distance of the nearest Rly.
Stn.from the Block H.Q.(K.M.)</t>
  </si>
  <si>
    <t xml:space="preserve">3) District Panchayat &amp; Rural 
    Dev. Office, Purba Medinipur  </t>
  </si>
  <si>
    <t>Note : Total Workers = Main workers + Marginal workers</t>
  </si>
  <si>
    <t>30.11.2012</t>
  </si>
  <si>
    <t xml:space="preserve">Source : Census of India, 2011 </t>
  </si>
  <si>
    <t xml:space="preserve">District Panchayat &amp; Rural 
Dev. Office, Purba Medinipur  </t>
  </si>
  <si>
    <t>Scheduled 
Caste</t>
  </si>
  <si>
    <t>Scheduled
 Tribe</t>
  </si>
  <si>
    <t>Pradhan Mantri
 Gram Sadak Yojana</t>
  </si>
  <si>
    <t>N.B. : Literacy relates to  population aged 7 years and above</t>
  </si>
  <si>
    <t>92.24</t>
  </si>
  <si>
    <t>81.03</t>
  </si>
  <si>
    <t>86.81</t>
  </si>
  <si>
    <t>83.95</t>
  </si>
  <si>
    <t>92.32</t>
  </si>
  <si>
    <t>81.37</t>
  </si>
  <si>
    <t>87.02</t>
  </si>
  <si>
    <t>Potashpur</t>
  </si>
  <si>
    <t>Potashpur-I
Potashpur-II</t>
  </si>
  <si>
    <t>Scheduled Caste and Scheduled Tribe Population by sex</t>
  </si>
  <si>
    <t xml:space="preserve">                       Minimum</t>
  </si>
  <si>
    <t>Exe. Engr, Zilla Parishad, Purba Medinipur</t>
  </si>
  <si>
    <t>Health &amp; Family Welfare Deptt., Govt of W.B.</t>
  </si>
  <si>
    <t>Young Stock</t>
  </si>
  <si>
    <t>Buffaloes :</t>
  </si>
  <si>
    <t>Goats</t>
  </si>
  <si>
    <t>8) Heads of each Sanskrit Tol</t>
  </si>
  <si>
    <t>Horses and ponies</t>
  </si>
  <si>
    <t>Pigs</t>
  </si>
  <si>
    <t>Fowls</t>
  </si>
  <si>
    <t>Ducks</t>
  </si>
  <si>
    <t>BAHC</t>
  </si>
  <si>
    <t>ABAHC</t>
  </si>
  <si>
    <t>ADAC</t>
  </si>
  <si>
    <t>MAHC</t>
  </si>
  <si>
    <t>Contents</t>
  </si>
  <si>
    <t>Current Calendar Year</t>
  </si>
  <si>
    <t>Current Financial Year</t>
  </si>
  <si>
    <t xml:space="preserve">Census Year </t>
  </si>
  <si>
    <t>2001</t>
  </si>
  <si>
    <t>Egra (M)</t>
  </si>
  <si>
    <t xml:space="preserve">                   </t>
  </si>
  <si>
    <t>(a) D.I.(Secondary)</t>
  </si>
  <si>
    <t>STUDY CENTRES OF OPEN UNIVERSITIES</t>
  </si>
  <si>
    <t>Purba Medinipur</t>
  </si>
  <si>
    <t>Minor Offences</t>
  </si>
  <si>
    <t>Sub-Division / 
C.D.Block / M</t>
  </si>
  <si>
    <t>Centres of Rabindra Mukta Vidyalaya</t>
  </si>
  <si>
    <t>handbook for the year</t>
  </si>
  <si>
    <t>BLOCK LEVEL STATISTICS</t>
  </si>
  <si>
    <t>Sl.
No.</t>
  </si>
  <si>
    <t xml:space="preserve">                    Male</t>
  </si>
  <si>
    <t>Sub-Division / C.D.Block /  M</t>
  </si>
  <si>
    <t>Semi-Urban</t>
  </si>
  <si>
    <t>Urban / Metropolitan</t>
  </si>
  <si>
    <t>9.</t>
  </si>
  <si>
    <t>10.</t>
  </si>
  <si>
    <t>11.</t>
  </si>
  <si>
    <t>12.</t>
  </si>
  <si>
    <t>Total Tax Collected 
(' 000 Rs.)</t>
  </si>
  <si>
    <t>Upto Sept.2006</t>
  </si>
  <si>
    <t>No.of 
factories</t>
  </si>
  <si>
    <t>(a) "Rural" includes all centres having population of 10,000 or less</t>
  </si>
  <si>
    <t>(b) "Semi-urban" includes all centres with population over 10,000 and upto 1 lakh</t>
  </si>
  <si>
    <t>Sub-Division / C.D.Block / M</t>
  </si>
  <si>
    <t>(c) "Urban" includes all centres with population over 1 lakh and upto 10 lakhs</t>
  </si>
  <si>
    <t>New Business</t>
  </si>
  <si>
    <t>Loan Distributed</t>
  </si>
  <si>
    <t xml:space="preserve">* * * * * * * * </t>
  </si>
  <si>
    <t>1st year's premium including 1st premium</t>
  </si>
  <si>
    <t>Language</t>
  </si>
  <si>
    <t>Employment</t>
  </si>
  <si>
    <t>Domestic</t>
  </si>
  <si>
    <t>Industrial</t>
  </si>
  <si>
    <t>Cocoons production</t>
  </si>
  <si>
    <t>Mulberry</t>
  </si>
  <si>
    <t>Tasar</t>
  </si>
  <si>
    <t>Eri</t>
  </si>
  <si>
    <t>Muga</t>
  </si>
  <si>
    <t>Sector</t>
  </si>
  <si>
    <t>Sectors</t>
  </si>
  <si>
    <t>6) Inspector of Colleges.</t>
  </si>
  <si>
    <t>DVH - District Veterinary Hospital</t>
  </si>
  <si>
    <t xml:space="preserve"> Director</t>
  </si>
  <si>
    <t>Tamluk</t>
  </si>
  <si>
    <t>Hired workers</t>
  </si>
  <si>
    <t>Females employed</t>
  </si>
  <si>
    <t>SAHC
+ DVH</t>
  </si>
  <si>
    <t>4000-5200</t>
  </si>
  <si>
    <t>6500-7500</t>
  </si>
  <si>
    <t>Industrial supervisory</t>
  </si>
  <si>
    <t>Clerical</t>
  </si>
  <si>
    <t>Educational</t>
  </si>
  <si>
    <t>Unskilled</t>
  </si>
  <si>
    <t>All groups</t>
  </si>
  <si>
    <t>Old-age assistance</t>
  </si>
  <si>
    <t>Widow assistance</t>
  </si>
  <si>
    <t>1</t>
  </si>
  <si>
    <t>2</t>
  </si>
  <si>
    <t>3</t>
  </si>
  <si>
    <t>4</t>
  </si>
  <si>
    <t>5</t>
  </si>
  <si>
    <t>6</t>
  </si>
  <si>
    <t>7</t>
  </si>
  <si>
    <t>Total of All Credit &amp; Non-Credit Societies :  (5 + 6)</t>
  </si>
  <si>
    <t>All Credit Societies : (1 + 2 + 3 + 4)</t>
  </si>
  <si>
    <t>Central Bank :</t>
  </si>
  <si>
    <t>Murder</t>
  </si>
  <si>
    <t>Dacoity</t>
  </si>
  <si>
    <t>Robbery</t>
  </si>
  <si>
    <t>Burglary</t>
  </si>
  <si>
    <t>Rioting</t>
  </si>
  <si>
    <t>Theft</t>
  </si>
  <si>
    <t>Offences against women</t>
  </si>
  <si>
    <t>Offences Reported</t>
  </si>
  <si>
    <t>Cases Tried</t>
  </si>
  <si>
    <t>Persons Convicted</t>
  </si>
  <si>
    <t>Persons Acquitted</t>
  </si>
  <si>
    <t>Category of police force</t>
  </si>
  <si>
    <t>Date of Establishment</t>
  </si>
  <si>
    <t>Assembly and Parliamentary Constituencies</t>
  </si>
  <si>
    <t>Yield rate of Rice</t>
  </si>
  <si>
    <t>Year 
(as on 31st March)</t>
  </si>
  <si>
    <t>Fibres :</t>
  </si>
  <si>
    <t>Name of 
Municipality</t>
  </si>
  <si>
    <t>26-08-1958</t>
  </si>
  <si>
    <t>01-01-2002</t>
  </si>
  <si>
    <t>Table No.</t>
  </si>
  <si>
    <t>(Population in Number)</t>
  </si>
  <si>
    <t>Climate:</t>
  </si>
  <si>
    <t>(Degree Celsius)</t>
  </si>
  <si>
    <t>10696 (P)</t>
  </si>
  <si>
    <t>Sub-Division /
 C.D.Block / M</t>
  </si>
  <si>
    <t>Total Population (A+B) :</t>
  </si>
  <si>
    <t>Entertain-
ment Tax</t>
  </si>
  <si>
    <t>Profes-
sional Tax</t>
  </si>
  <si>
    <t>(f)  Institute of Radiology / Pathology / Bio-Chemistry / Laboratory Technology / Radiography / Physiotherapy / Radiotherapy / ECG</t>
  </si>
  <si>
    <t>Market</t>
  </si>
  <si>
    <t>Kg</t>
  </si>
  <si>
    <t>Hindu</t>
  </si>
  <si>
    <t>Muslim</t>
  </si>
  <si>
    <t>Christian</t>
  </si>
  <si>
    <t>Sikh</t>
  </si>
  <si>
    <t>Buddhist</t>
  </si>
  <si>
    <t>Jain</t>
  </si>
  <si>
    <t>No. of 
Males</t>
  </si>
  <si>
    <t>No. of
 Females</t>
  </si>
  <si>
    <t>Deshapran</t>
  </si>
  <si>
    <t xml:space="preserve">Month </t>
  </si>
  <si>
    <t>Annual average</t>
  </si>
  <si>
    <t>(Kilometre)</t>
  </si>
  <si>
    <t>P.W.D.</t>
  </si>
  <si>
    <t>Zilla Parishad</t>
  </si>
  <si>
    <t>National Highways</t>
  </si>
  <si>
    <t>State Highways</t>
  </si>
  <si>
    <t>District Roads</t>
  </si>
  <si>
    <t>Village Roads</t>
  </si>
  <si>
    <t>Year (as on 31st March)</t>
  </si>
  <si>
    <t>P.C. of Col. (9) to respective total workers</t>
  </si>
  <si>
    <t xml:space="preserve">Rural  </t>
  </si>
  <si>
    <t xml:space="preserve">Total  </t>
  </si>
  <si>
    <t>Fixed Capital 
(Rs. in Lakh)</t>
  </si>
  <si>
    <t>Invested Capital 
(Rs. in Lakh)</t>
  </si>
  <si>
    <t>Mandays employed 
(in thousand)</t>
  </si>
  <si>
    <t>Emoluments 
(Rs. in Lakh)</t>
  </si>
  <si>
    <t>Values of Input 
(Rs. in Lakh)</t>
  </si>
  <si>
    <t>Values of Output 
(Rs. in Lakh)</t>
  </si>
  <si>
    <t>Net value added 
(Rs. in Lakh)</t>
  </si>
  <si>
    <t>Net 
income 
(Rs. in Lakh)</t>
  </si>
  <si>
    <t>Tractor &amp; Trailer</t>
  </si>
  <si>
    <t>Goods Vehicles</t>
  </si>
  <si>
    <t>Motor cycle &amp; Scooter</t>
  </si>
  <si>
    <t>Taxi &amp; Contract Carriage</t>
  </si>
  <si>
    <t>(b) Junior Govt. Polytechnics</t>
  </si>
  <si>
    <t>Musur</t>
  </si>
  <si>
    <t>Family Welfare Centres</t>
  </si>
  <si>
    <t>TABLE 7.2</t>
  </si>
  <si>
    <t>TABLE 7.3</t>
  </si>
  <si>
    <t>1) Collectorate(Election Deptt.)</t>
  </si>
  <si>
    <t>2) Collectorate (L.S.G.Cell)</t>
  </si>
  <si>
    <t>Super / Director of the 
respective (L.S.G./
Private) Hospitals</t>
  </si>
  <si>
    <t>Dy.C.M.O.H. - II, 
Purba Medinipur</t>
  </si>
  <si>
    <t>1) Directorate of Agriculture, Govt. of W.B.</t>
  </si>
  <si>
    <t>Source : Directorate of Agriculture, Govt. of  W.B.</t>
  </si>
  <si>
    <t>Source : Directorate of Animal Resources &amp; Animal Health, Govt. of  W.B.</t>
  </si>
  <si>
    <t>Source : Live-stock Census Report, Govt. of W.B.</t>
  </si>
  <si>
    <t>Source : B.A.E.&amp; S., Govt. of W.B.</t>
  </si>
  <si>
    <t>Home (Transport) Deptt., Govt. of W.B.</t>
  </si>
  <si>
    <t>(40)</t>
  </si>
  <si>
    <t>Distribution of Population by sex and by age group in the district of  Medinipur(C), 2001</t>
  </si>
  <si>
    <t>2010-11</t>
  </si>
  <si>
    <t>Scheduled Caste</t>
  </si>
  <si>
    <t>Scheduled Tribe</t>
  </si>
  <si>
    <t>* Including delivery at home</t>
  </si>
  <si>
    <t>3800-4500</t>
  </si>
  <si>
    <t>Ind. = Industry</t>
  </si>
  <si>
    <t>All Industry</t>
  </si>
  <si>
    <t>2) B.A.E &amp; S., Govt of  W.B.</t>
  </si>
  <si>
    <r>
      <t>Note : Marginal</t>
    </r>
    <r>
      <rPr>
        <b/>
        <sz val="9"/>
        <color indexed="19"/>
        <rFont val="Arial"/>
        <family val="2"/>
      </rPr>
      <t xml:space="preserve"> :</t>
    </r>
  </si>
  <si>
    <r>
      <t>Small</t>
    </r>
    <r>
      <rPr>
        <b/>
        <sz val="9"/>
        <color indexed="19"/>
        <rFont val="Arial"/>
        <family val="2"/>
      </rPr>
      <t xml:space="preserve"> :</t>
    </r>
  </si>
  <si>
    <r>
      <t xml:space="preserve">Semi-medium </t>
    </r>
    <r>
      <rPr>
        <b/>
        <sz val="9"/>
        <color indexed="19"/>
        <rFont val="Arial"/>
        <family val="2"/>
      </rPr>
      <t>:</t>
    </r>
  </si>
  <si>
    <r>
      <t xml:space="preserve">Medium </t>
    </r>
    <r>
      <rPr>
        <b/>
        <sz val="9"/>
        <color indexed="19"/>
        <rFont val="Arial"/>
        <family val="2"/>
      </rPr>
      <t>:</t>
    </r>
  </si>
  <si>
    <r>
      <t xml:space="preserve">Large </t>
    </r>
    <r>
      <rPr>
        <b/>
        <sz val="9"/>
        <color indexed="19"/>
        <rFont val="Arial"/>
        <family val="2"/>
      </rPr>
      <t>:</t>
    </r>
  </si>
  <si>
    <t>(d) "Metropolitan" includes all centres with population over 10 lakhs</t>
  </si>
  <si>
    <t>a) working factories</t>
  </si>
  <si>
    <t>b) average daily employment</t>
  </si>
  <si>
    <t>Commercial</t>
  </si>
  <si>
    <t>Sheep</t>
  </si>
  <si>
    <t>Own Account Establishments</t>
  </si>
  <si>
    <t>400gm</t>
  </si>
  <si>
    <t>All B.D.O.s, Purba Medinipur</t>
  </si>
  <si>
    <t>Qtl.</t>
  </si>
  <si>
    <t>Arhar Dal</t>
  </si>
  <si>
    <t>Khesari Dal</t>
  </si>
  <si>
    <t xml:space="preserve">  Occupational Group</t>
  </si>
  <si>
    <t>Geonkhali</t>
  </si>
  <si>
    <t>100 No.</t>
  </si>
  <si>
    <t>Muripukur</t>
  </si>
  <si>
    <t xml:space="preserve">Each </t>
  </si>
  <si>
    <t>Litre</t>
  </si>
  <si>
    <t>Each</t>
  </si>
  <si>
    <t xml:space="preserve">Tamluk </t>
  </si>
  <si>
    <t>2005-06</t>
  </si>
  <si>
    <t>= Open Dug Well</t>
  </si>
  <si>
    <t>(23)</t>
  </si>
  <si>
    <t>(24)</t>
  </si>
  <si>
    <t>(25)</t>
  </si>
  <si>
    <t>(26)</t>
  </si>
  <si>
    <t>(27)</t>
  </si>
  <si>
    <t>(28)</t>
  </si>
  <si>
    <t>(29)</t>
  </si>
  <si>
    <t>(30)</t>
  </si>
  <si>
    <t>Manufacture of motor vehicles, trailers and semi-trailers</t>
  </si>
  <si>
    <t>(31)</t>
  </si>
  <si>
    <t>(32)</t>
  </si>
  <si>
    <t>(33)</t>
  </si>
  <si>
    <t>(34)</t>
  </si>
  <si>
    <t>(35)</t>
  </si>
  <si>
    <t>(36)</t>
  </si>
  <si>
    <t>(38)</t>
  </si>
  <si>
    <t>(37)</t>
  </si>
  <si>
    <t>(39)</t>
  </si>
  <si>
    <t>(41)</t>
  </si>
  <si>
    <t>(42)</t>
  </si>
  <si>
    <t>(43)</t>
  </si>
  <si>
    <t>(44)</t>
  </si>
  <si>
    <t>Stage Carriage</t>
  </si>
  <si>
    <t>No. of persons injured</t>
  </si>
  <si>
    <t>Source : Post Master General, West Bengal Circle</t>
  </si>
  <si>
    <t>per cent</t>
  </si>
  <si>
    <t>Name of Block</t>
  </si>
  <si>
    <t>SL.No.</t>
  </si>
  <si>
    <t xml:space="preserve">        (Number)</t>
  </si>
  <si>
    <t>Sl.</t>
  </si>
  <si>
    <t>Bargadars</t>
  </si>
  <si>
    <t>Students by sex in different type of General Educational Institutions</t>
  </si>
  <si>
    <t>Others
( CC+OP+MTP etc.)</t>
  </si>
  <si>
    <t>Students by sex in different type of Professional &amp; Technical Educational Institutions</t>
  </si>
  <si>
    <t>2.0 hectares and above but less than 4.0 hectares</t>
  </si>
  <si>
    <t>4.0 hectares and above but less than 10.0 hectares</t>
  </si>
  <si>
    <t>Students by sex in different type of Special &amp; Non-formal Educational Institutions</t>
  </si>
  <si>
    <t xml:space="preserve">Teachers in different type of Professional &amp; Technical Educational Institutions </t>
  </si>
  <si>
    <t xml:space="preserve">Sub-Division / 
C.D.Block </t>
  </si>
  <si>
    <t>6000-7000</t>
  </si>
  <si>
    <t>Total
 Earning 
( ' 000 Rs.)</t>
  </si>
  <si>
    <t xml:space="preserve"> No.
of
 Vehicles </t>
  </si>
  <si>
    <t>No of 
Trips 
conducted</t>
  </si>
  <si>
    <t>No.of Tourists
 Staying in 
Tourist Lodges</t>
  </si>
  <si>
    <t>No. of 
Tourists 
Carried</t>
  </si>
  <si>
    <t>No. of 
Tourist Lodges
(Govt.)</t>
  </si>
  <si>
    <t>Date of 
Establishment</t>
  </si>
  <si>
    <t>Name of 
Zilla Parishad</t>
  </si>
  <si>
    <t>Purba 
Medinipur</t>
  </si>
  <si>
    <t>Agri.-
 Income Tax</t>
  </si>
  <si>
    <t>Stamp
 Revenue &amp; 
Registration
 Fees</t>
  </si>
  <si>
    <t>Name 
of
 Block</t>
  </si>
  <si>
    <t>Teachers in different type of Special &amp; Non-formal Educational Institutions</t>
  </si>
  <si>
    <t>Khesari</t>
  </si>
  <si>
    <t>TECHNICAL SCHOOLS</t>
  </si>
  <si>
    <t>TECHNICAL COLLEGES</t>
  </si>
  <si>
    <t>TECHNICAL UNIVERSITIES</t>
  </si>
  <si>
    <t>December .</t>
  </si>
  <si>
    <t>District Total</t>
  </si>
  <si>
    <t>Sl. No</t>
  </si>
  <si>
    <t>Maskalai</t>
  </si>
  <si>
    <t>Mustard</t>
  </si>
  <si>
    <t>Linseed</t>
  </si>
  <si>
    <t>Prod.</t>
  </si>
  <si>
    <t>Yield</t>
  </si>
  <si>
    <t>Prod.*</t>
  </si>
  <si>
    <t>Yield**</t>
  </si>
  <si>
    <t>Area</t>
  </si>
  <si>
    <t xml:space="preserve"> </t>
  </si>
  <si>
    <t>Cattle</t>
  </si>
  <si>
    <t>Buffaloes</t>
  </si>
  <si>
    <t>Number of Bank offices</t>
  </si>
  <si>
    <t>Population served per Bank office</t>
  </si>
  <si>
    <t>Unsurfaced</t>
  </si>
  <si>
    <t>District:-</t>
  </si>
  <si>
    <t>Number of</t>
  </si>
  <si>
    <t>2.1(a)</t>
  </si>
  <si>
    <t>2.4(a)</t>
  </si>
  <si>
    <t>2.4(b)</t>
  </si>
  <si>
    <t>Musur Dal (Big)</t>
  </si>
  <si>
    <t>Musur Dal (Small)</t>
  </si>
  <si>
    <t>Matar Dal (Whole)</t>
  </si>
  <si>
    <t>Onion (Big)</t>
  </si>
  <si>
    <t>Mustard Seed (Black)</t>
  </si>
  <si>
    <t>2.5(a)</t>
  </si>
  <si>
    <t>2.5(b)</t>
  </si>
  <si>
    <t>P.C.to total 
population of district</t>
  </si>
  <si>
    <t>1126*</t>
  </si>
  <si>
    <t>5340*</t>
  </si>
  <si>
    <t xml:space="preserve">   2) Small farmer possesses agricultural 
       land measuring more than 1 hectare 
       and upto 2 hectares</t>
  </si>
  <si>
    <t xml:space="preserve">Sources  : </t>
  </si>
  <si>
    <t>Source : Census of India,1981 &amp; 1991</t>
  </si>
  <si>
    <t>HDTW  = High Capacity Deep Tubewell</t>
  </si>
  <si>
    <t>MDTW  = Middle Capacity Deep Tubewell</t>
  </si>
  <si>
    <t>Progress of L.I.C.</t>
  </si>
  <si>
    <t>per sq. km.</t>
  </si>
  <si>
    <t>Type of Institution</t>
  </si>
  <si>
    <t xml:space="preserve">Upto 31st March </t>
  </si>
  <si>
    <t>N.B.: Figures in respect of Panskura(M)
    are included in Panskura-I &amp; Kolaghat</t>
  </si>
  <si>
    <t>' 000 Rs.</t>
  </si>
  <si>
    <t xml:space="preserve">          BCG = Bacillus Calmette Guerin</t>
  </si>
  <si>
    <t xml:space="preserve">   248** </t>
  </si>
  <si>
    <t xml:space="preserve">   1896** </t>
  </si>
  <si>
    <t>Note :</t>
  </si>
  <si>
    <t>(Contd.)</t>
  </si>
  <si>
    <t>Contents (Concld.)</t>
  </si>
  <si>
    <t>Page 
No.</t>
  </si>
  <si>
    <t xml:space="preserve">TABLE 2.3   </t>
  </si>
  <si>
    <t>TABLE 2.2</t>
  </si>
  <si>
    <t>TABLE 2.4(a)</t>
  </si>
  <si>
    <t>TABLE 2.4(b)</t>
  </si>
  <si>
    <t>Age not 
stated</t>
  </si>
  <si>
    <t>6) Inspector of Colleges</t>
  </si>
  <si>
    <t>TABLE 4.4 (Concld.)</t>
  </si>
  <si>
    <t>*  Only for Purba Medinipur</t>
  </si>
  <si>
    <t>Sources : 1)</t>
  </si>
  <si>
    <t>2)</t>
  </si>
  <si>
    <t>Source : Labour Bureau, Govt. of India</t>
  </si>
  <si>
    <t>Directorate Of Rationing, W.B.</t>
  </si>
  <si>
    <t xml:space="preserve">Directorate of District Distribution, </t>
  </si>
  <si>
    <t>Procurement and Supply, Govt. of W.B.</t>
  </si>
  <si>
    <t>Centre - Digha</t>
  </si>
  <si>
    <t xml:space="preserve"> 2)</t>
  </si>
  <si>
    <t xml:space="preserve"> 3)</t>
  </si>
  <si>
    <t>R.T.A., Purba Medinipur</t>
  </si>
  <si>
    <t>Source : All Municipalities, Purba Medinipur</t>
  </si>
  <si>
    <t>3)</t>
  </si>
  <si>
    <t>4)</t>
  </si>
  <si>
    <t>B.A.E.&amp; S.,Govt. of W.B.</t>
  </si>
  <si>
    <t>Year / Month</t>
  </si>
  <si>
    <t xml:space="preserve">Directorate of Micro &amp; Small Scale 
Enterprises, Govt. of W.B.
</t>
  </si>
  <si>
    <t>TABLE 13.1 (Concld.)</t>
  </si>
  <si>
    <t>Contai-I
Deshapran
(Contai-II)
Contai-III</t>
  </si>
  <si>
    <t>Source : Census of India, 2001 &amp; 1991</t>
  </si>
  <si>
    <t>Source : Agricultural Census, West Bengal</t>
  </si>
  <si>
    <t>Source : B.A.E.&amp; S., Govt. of  W.B.</t>
  </si>
  <si>
    <t>Source : Directorate of Food Processing Industries and Horticulture, Govt. of  W.B.</t>
  </si>
  <si>
    <t>LDTW  = Low Capacity Deep Tubewell</t>
  </si>
  <si>
    <t>= Shallow Tubewell</t>
  </si>
  <si>
    <t>= River  Lift Irrigation</t>
  </si>
  <si>
    <t>Source : Dist. Manager, Lead Bank, UBI, Purba Medinipur</t>
  </si>
  <si>
    <t>2) R.T.A., Tamluk, Purba Medinipur</t>
  </si>
  <si>
    <t>1) Principal Agricultural Officer, Purba Medinipur</t>
  </si>
  <si>
    <t>Source : Superintendent of Police, Purba Medinipur</t>
  </si>
  <si>
    <t>Source : Dy. C.M.O.H.- III, Purba Medinipur</t>
  </si>
  <si>
    <t>(a) Pre-primary &amp; Primary Teachers'  Training Institutes (PTTI)</t>
  </si>
  <si>
    <t>Chinarose</t>
  </si>
  <si>
    <t>100 Nos.</t>
  </si>
  <si>
    <t>1) Base 1901=100  for Undivided Medinipur district from 1901 to 1981</t>
  </si>
  <si>
    <t>Special &amp; Non-
formal Education</t>
  </si>
  <si>
    <t>N.B.: Figures in respect of Panskura (M)
 are included in Panskura-I &amp; Kolaghat.</t>
  </si>
  <si>
    <t>Fresh registration 
during the year</t>
  </si>
  <si>
    <t>Banking :</t>
  </si>
  <si>
    <t>Number of tourists and earning
decreased due to partially
closed for repairing</t>
  </si>
  <si>
    <t>Placement effected
 during the year</t>
  </si>
  <si>
    <t>Vacancies notified
 during the year</t>
  </si>
  <si>
    <t>On live-register at
 the end of the year</t>
  </si>
  <si>
    <t>Reporting
 Area</t>
  </si>
  <si>
    <t>Forest
 Area</t>
  </si>
  <si>
    <t>Area under
 Non-
agricultural 
use</t>
  </si>
  <si>
    <t>Permanent
 pastures &amp;
 other grazing
 land</t>
  </si>
  <si>
    <t>Land under
 misc. tree
 groves not
 included in
 Net area
 sown</t>
  </si>
  <si>
    <t>Culturable
 waste
 land</t>
  </si>
  <si>
    <t>Fallow land
 other than 
current
 fallow</t>
  </si>
  <si>
    <t>Current
 fallow</t>
  </si>
  <si>
    <t>Net area
 sown</t>
  </si>
  <si>
    <t>No.of
 holdings</t>
  </si>
  <si>
    <t>Area of
 holdings</t>
  </si>
  <si>
    <t>Post
 Office</t>
  </si>
  <si>
    <t>Telegraph
 Office</t>
  </si>
  <si>
    <t>Combined 
Office</t>
  </si>
  <si>
    <t>Note : After the introduction of the Micro, Small and 
          Medium Enterprises Development Act in 
          October, 2006 the registration system has 
          been abolished &amp; the figures from October, 2006 
          onwards for Purba Medinipur only</t>
  </si>
  <si>
    <t>Directorate of Cottage &amp; Small Scale Ind., Govt. of W.B.</t>
  </si>
  <si>
    <t>Chief Inspector of Factories,Govt. of  W.B.</t>
  </si>
  <si>
    <t>30.11.2009</t>
  </si>
  <si>
    <t>1940(E)</t>
  </si>
  <si>
    <t>1984(E)</t>
  </si>
  <si>
    <t>Crore Cut
 Flower</t>
  </si>
  <si>
    <t xml:space="preserve"> "</t>
  </si>
  <si>
    <t>P.C. of population to
 district population</t>
  </si>
  <si>
    <t>No.of Cultivators
 benefitted</t>
  </si>
  <si>
    <t>Source : Heads of all Technical and Professional Institutions, Purba Medinipur</t>
  </si>
  <si>
    <t>2.10(a)</t>
  </si>
  <si>
    <t>3.2(a)</t>
  </si>
  <si>
    <t>1.2</t>
  </si>
  <si>
    <t>1.1</t>
  </si>
  <si>
    <t>1.3</t>
  </si>
  <si>
    <t>1.4</t>
  </si>
  <si>
    <t>2.1</t>
  </si>
  <si>
    <t>2.2</t>
  </si>
  <si>
    <t>2.3</t>
  </si>
  <si>
    <t>2.6</t>
  </si>
  <si>
    <t>2.7</t>
  </si>
  <si>
    <t>2.8</t>
  </si>
  <si>
    <t>2.9</t>
  </si>
  <si>
    <t>2.10</t>
  </si>
  <si>
    <t>2.11</t>
  </si>
  <si>
    <t>3.1</t>
  </si>
  <si>
    <t>3.2</t>
  </si>
  <si>
    <t>3.3</t>
  </si>
  <si>
    <t>Hospitals, Health Centres etc.</t>
  </si>
  <si>
    <t>NIC ' 08
 Code</t>
  </si>
  <si>
    <t>Other
 Departments
 of Govt.of West
 Bengal including 
State Govt.
Undertaking</t>
  </si>
  <si>
    <t xml:space="preserve"> Sources : </t>
  </si>
  <si>
    <t>* Figures for Cases treated in respect of Panskura(M)
   are included in Panskura-I &amp; Kolaghat blocks</t>
  </si>
  <si>
    <t>District Nursing Home</t>
  </si>
  <si>
    <r>
      <t xml:space="preserve">Maize </t>
    </r>
    <r>
      <rPr>
        <vertAlign val="superscript"/>
        <sz val="10"/>
        <color indexed="57"/>
        <rFont val="Arial"/>
        <family val="2"/>
      </rPr>
      <t>#</t>
    </r>
  </si>
  <si>
    <r>
      <t>#</t>
    </r>
    <r>
      <rPr>
        <sz val="9"/>
        <rFont val="Arial"/>
        <family val="2"/>
      </rPr>
      <t xml:space="preserve"> Bhadui Maize only</t>
    </r>
  </si>
  <si>
    <t xml:space="preserve">Employment in Registered Factories and State Government Offices in the district of Purba Medinipur </t>
  </si>
  <si>
    <t xml:space="preserve">Post &amp; Telegraph Offices in the district of Purba Medinipur </t>
  </si>
  <si>
    <t>SAHC  -  State Animal Health Centre</t>
  </si>
  <si>
    <t>TABLE 21.2</t>
  </si>
  <si>
    <t>TABLE 21.1</t>
  </si>
  <si>
    <t xml:space="preserve"> TABLE 20.2</t>
  </si>
  <si>
    <t>TABLE 20.1</t>
  </si>
  <si>
    <t>TABLE 18.3</t>
  </si>
  <si>
    <t>TABLE 18.2</t>
  </si>
  <si>
    <t>TABLE 18.1</t>
  </si>
  <si>
    <t>TABLE 17.2</t>
  </si>
  <si>
    <t>1422 (C)</t>
  </si>
  <si>
    <t>Post Offices</t>
  </si>
  <si>
    <t>TABLE 17.1</t>
  </si>
  <si>
    <t>Micro &amp; Small Scale Enterprises with corresponding Employment</t>
  </si>
  <si>
    <t>Super / Director of the respective
(L.S.G./ Private) Hospitals</t>
  </si>
  <si>
    <t>Source : Dy. Director, Animal Recources and
 Development Parisad Office, Purba Medinipur</t>
  </si>
  <si>
    <t xml:space="preserve">Consumption of Electricity by different sectors </t>
  </si>
  <si>
    <t>Production in Sericulture Industry</t>
  </si>
  <si>
    <t>Employment in Registered Factories &amp; State Government Offices</t>
  </si>
  <si>
    <t xml:space="preserve">Registration and Placement effected by Employment Exchanges </t>
  </si>
  <si>
    <t>* n.e.c. = not elsewhere classified</t>
  </si>
  <si>
    <t>Number of Seats in Municipal Corporations, Municipalities and Panchayats</t>
  </si>
  <si>
    <t xml:space="preserve">Population by religion &amp; by sex </t>
  </si>
  <si>
    <t>Maximum and Minimum Temperature by month</t>
  </si>
  <si>
    <t>Administrative Units</t>
  </si>
  <si>
    <t>Growth of Population by sex</t>
  </si>
  <si>
    <t>Distribution of Population by sex &amp; by age group, 2001</t>
  </si>
  <si>
    <t>Distribution of Population over different categories of workers and non-workers by sex</t>
  </si>
  <si>
    <t>Disabled Persons by type of disability &amp; by sex</t>
  </si>
  <si>
    <t>Medical Facilities</t>
  </si>
  <si>
    <t>Area under Principal Crops</t>
  </si>
  <si>
    <t>Production of Principal Crops</t>
  </si>
  <si>
    <t>Yield rates of Principal Crops</t>
  </si>
  <si>
    <t>* As per Census Population 2011</t>
  </si>
  <si>
    <t>Yield rates of some Selected Crops</t>
  </si>
  <si>
    <t>Area Irrigated by different sources</t>
  </si>
  <si>
    <t>Sources of Irrigation</t>
  </si>
  <si>
    <t xml:space="preserve">Fertilizer Consumed  </t>
  </si>
  <si>
    <t xml:space="preserve">Warehousing and Cold Storage Facilities </t>
  </si>
  <si>
    <t>Estimated Production of Milk and Egg</t>
  </si>
  <si>
    <t>Progress of Co-operative Movement</t>
  </si>
  <si>
    <t>Mouzas Electrified</t>
  </si>
  <si>
    <t>Distribution of Rural &amp; Urban Population by sex, 2001</t>
  </si>
  <si>
    <t>Area, Population and Density of Population</t>
  </si>
  <si>
    <t>Live-stock and Poultry</t>
  </si>
  <si>
    <t>Selected Characteristics of Factories by industry group</t>
  </si>
  <si>
    <t>(Thousand Rs.)</t>
  </si>
  <si>
    <t>No. of mouzas
 having drinking
 water facilities</t>
  </si>
  <si>
    <t>3) Dist. Controller, F &amp; S
    Corporation, Purba Medinipur</t>
  </si>
  <si>
    <t>Prod. = Production</t>
  </si>
  <si>
    <t>Sub-
centres</t>
  </si>
  <si>
    <t>Population      (Number)</t>
  </si>
  <si>
    <t>Density of Population 
( per Sq. Km.)</t>
  </si>
  <si>
    <t>(b) Engineering Colleges (Govt.+ Private)</t>
  </si>
  <si>
    <t>(c) Management Colleges (Govt.+ Private)</t>
  </si>
  <si>
    <t>(d) Polytechnics (Govt.+ Private)</t>
  </si>
  <si>
    <t>(a) Teachers' Training (B.Ed.+ Phy.Ed.) Colleges</t>
  </si>
  <si>
    <t>Educational Institutions for the Blind and other
Physically &amp; Mentally Handicapped</t>
  </si>
  <si>
    <t>Reformatory or Certified Institutions or Welfare Homes
under Social Welfare Deptt.for the Juveniles or 
destitute children or the children of red-light areas</t>
  </si>
  <si>
    <t>Commercial Manager, Distribution, Commercial Wings,
 WBSEDCL, Vidyut Bhaban, Saltlake, Kolkata</t>
  </si>
  <si>
    <t xml:space="preserve">Year </t>
  </si>
  <si>
    <t xml:space="preserve"> Sources:</t>
  </si>
  <si>
    <t>1) Dy. Director Of Agriculture (Admn.),</t>
  </si>
  <si>
    <t>Distribution of Population over different categories of workers and non-workers</t>
  </si>
  <si>
    <t>Forest owned by civil authorities</t>
  </si>
  <si>
    <t>Egg (Number in thousand)</t>
  </si>
  <si>
    <t>Population by religion in the district of  Medinipur(C), 1991 and 2001</t>
  </si>
  <si>
    <t>Population by religion and by sex in the district of Purba Medinipur, 2001</t>
  </si>
  <si>
    <t>Milk (Thousand tonnes)</t>
  </si>
  <si>
    <t>1) Divisional Office, L.I.C.of India, Howrah Divn.</t>
  </si>
  <si>
    <t>2) Divisional Office, L.I.C.of India, Kharagpur Divn.</t>
  </si>
  <si>
    <t>Addl. Chief Engineer (Dist. Constrn.)-R.E., 
Bidyut Bhavan, Salt Lake, Kolkata</t>
  </si>
  <si>
    <t>Railway 
Traction &amp; 
Non-Traction</t>
  </si>
  <si>
    <t>(Thousand K.W.H)</t>
  </si>
  <si>
    <t>Distribution of Population by sex and by age group in the district of Purba Medinipur, 2011</t>
  </si>
  <si>
    <t>Disabled Persons by  type of disability and by sex in the district of Purba Medinipur, 2011</t>
  </si>
  <si>
    <t xml:space="preserve">S E Circle Manager, Tamluk (Dist.) Circle, WBSEDCL, Purba Medinipur </t>
  </si>
  <si>
    <t>All Block Development Officers, Purba Medinipur</t>
  </si>
  <si>
    <t>Population, Receipt and Expenditure of Municipalities</t>
  </si>
  <si>
    <t>2012-13</t>
  </si>
  <si>
    <t xml:space="preserve">2011-12 </t>
  </si>
  <si>
    <t>Length of different classes of Roads maintained by P.W.D. in the district of Medinipur(C)</t>
  </si>
  <si>
    <r>
      <t>#</t>
    </r>
    <r>
      <rPr>
        <sz val="9"/>
        <rFont val="Arial"/>
        <family val="2"/>
      </rPr>
      <t xml:space="preserve"> As per Census Population 2001</t>
    </r>
  </si>
  <si>
    <t xml:space="preserve">  Sources :</t>
  </si>
  <si>
    <t xml:space="preserve">   ODW</t>
  </si>
  <si>
    <t xml:space="preserve">  STW</t>
  </si>
  <si>
    <t>Source : Dy. Director of Sericulture, Purba Medinipur</t>
  </si>
  <si>
    <t>Value of production (Thousand rupees)</t>
  </si>
  <si>
    <t>Establishments with hired workers</t>
  </si>
  <si>
    <t>Area               (Sq. Km.)
(2001)</t>
  </si>
  <si>
    <t>N.B.: C.D.Block / M / M.C. / N.A.- wise figures of 
         Census 2011 for Area are not available at present</t>
  </si>
  <si>
    <t>Source : Census of India, 2011</t>
  </si>
  <si>
    <t>Amalhara</t>
  </si>
  <si>
    <t>Mihitikri</t>
  </si>
  <si>
    <t>(Population in number)</t>
  </si>
  <si>
    <t>Age not
 stated</t>
  </si>
  <si>
    <t>P.C. = Percentage to respective total population</t>
  </si>
  <si>
    <t>P.C. to T.W. = Percentage to respective total workers</t>
  </si>
  <si>
    <t>Mental Illness</t>
  </si>
  <si>
    <t>Mental Retarded</t>
  </si>
  <si>
    <t>Other Disability</t>
  </si>
  <si>
    <t>Multiple Disability</t>
  </si>
  <si>
    <t>Population 
(2011)</t>
  </si>
  <si>
    <t>Agricultural
labourers (2011)</t>
  </si>
  <si>
    <t xml:space="preserve"> 3) Census of India, 2011</t>
  </si>
  <si>
    <t>Distribution of Rural &amp; Urban Population by sex, 2011</t>
  </si>
  <si>
    <t>Distribution of Population by sex &amp; by age group, 2011</t>
  </si>
  <si>
    <t>Kharisha</t>
  </si>
  <si>
    <t>Anantapur</t>
  </si>
  <si>
    <t>Shantipur</t>
  </si>
  <si>
    <t>Garh Kamalpur</t>
  </si>
  <si>
    <t>Amarshi Kasba</t>
  </si>
  <si>
    <t>Benudia</t>
  </si>
  <si>
    <t>Hincha Gerya</t>
  </si>
  <si>
    <t>Kotbar</t>
  </si>
  <si>
    <t>Erashal</t>
  </si>
  <si>
    <t>Barda</t>
  </si>
  <si>
    <t>Ashadtalya</t>
  </si>
  <si>
    <t>Basantia</t>
  </si>
  <si>
    <t>Khadalgobra</t>
  </si>
  <si>
    <t>Dakshin Baguan</t>
  </si>
  <si>
    <t>2/11</t>
  </si>
  <si>
    <t>1/4</t>
  </si>
  <si>
    <t>1/2</t>
  </si>
  <si>
    <t>1/3</t>
  </si>
  <si>
    <t>5/20</t>
  </si>
  <si>
    <t>Source : Dy. Director Of Employment Exchange, Purba Medinipur</t>
  </si>
  <si>
    <t>Dry Coconut</t>
  </si>
  <si>
    <t>Rice (Aman Fine)</t>
  </si>
  <si>
    <t xml:space="preserve">Paddy (Aman Fine)  </t>
  </si>
  <si>
    <t>Paddy (Common)</t>
  </si>
  <si>
    <t>Number of Establishments in rural and urban areas</t>
  </si>
  <si>
    <t>Number of Persons usually working in rural and urban Establishments</t>
  </si>
  <si>
    <t>Applicants on the Live-register of Employment Exchanges</t>
  </si>
  <si>
    <t>Percentage of Hired Workers &amp; Females employed in Non-agricultural Establishments</t>
  </si>
  <si>
    <t>Wholesale Prices of Agricultural Commodities, Live-stock &amp; Live-stock Products</t>
  </si>
  <si>
    <t>Regulated Market by category</t>
  </si>
  <si>
    <t>Consumer Price Index Numbers for Families of all Expenditure Groups Combined</t>
  </si>
  <si>
    <t>Consumer Price Index Numbers for Industrial Workers</t>
  </si>
  <si>
    <t>Length of different classes of Roads maintained by P.W.D.</t>
  </si>
  <si>
    <t>Accidents on Roads</t>
  </si>
  <si>
    <t>Offences reported, Cases tried, Persons convicted and acquitted</t>
  </si>
  <si>
    <t xml:space="preserve">Net Collection from Small Savings </t>
  </si>
  <si>
    <t>Some Basic Statistics about the Blocks</t>
  </si>
  <si>
    <t>Registered Motor Vehicles</t>
  </si>
  <si>
    <t>Persons Engaged in Agriculture in the Blocks</t>
  </si>
  <si>
    <t>Particulars of Fisheries in the Blocks</t>
  </si>
  <si>
    <t>Length of Roads maintained by different agencies in the Blocks</t>
  </si>
  <si>
    <t>Transport Facilities in the Blocks</t>
  </si>
  <si>
    <t>Source of Irrigation and Area Irrigated by different sources in the Blocks</t>
  </si>
  <si>
    <t>TABLE 16.1</t>
  </si>
  <si>
    <t>TABLE 15.2</t>
  </si>
  <si>
    <t>TABLE 15.1</t>
  </si>
  <si>
    <t>TABLE 14.1</t>
  </si>
  <si>
    <t>Department of Statistical Analysis and Computer 
Services, Mumbai, Reserve Bank of India</t>
  </si>
  <si>
    <r>
      <t>Deposits</t>
    </r>
    <r>
      <rPr>
        <sz val="10"/>
        <color indexed="57"/>
        <rFont val="Arial Narrow"/>
        <family val="2"/>
      </rPr>
      <t xml:space="preserve">
(Rs. In
 Crore)</t>
    </r>
  </si>
  <si>
    <t>P.C. of
 advances
 to deposits</t>
  </si>
  <si>
    <t>(a) Medical (Allopathic, Dental, Homeopathic, Ayurvedic) Colleges</t>
  </si>
  <si>
    <t>TABLE 14.2</t>
  </si>
  <si>
    <t>TABLE 13.2</t>
  </si>
  <si>
    <t>TABLE 13.3</t>
  </si>
  <si>
    <t>TABLE 13.1</t>
  </si>
  <si>
    <t>TABLE 12.6</t>
  </si>
  <si>
    <t>TABLE 12.4</t>
  </si>
  <si>
    <t>TABLE 12.3</t>
  </si>
  <si>
    <t>TABLE 12.2</t>
  </si>
  <si>
    <t xml:space="preserve">TABLE 12.1 </t>
  </si>
  <si>
    <t>TABLE 11.3</t>
  </si>
  <si>
    <t>TABLE 11.4</t>
  </si>
  <si>
    <t>TABLE 11.1(a)</t>
  </si>
  <si>
    <t>TABLE 11.2</t>
  </si>
  <si>
    <t>TABLE 11.1</t>
  </si>
  <si>
    <t>TABLE 10.3</t>
  </si>
  <si>
    <t>01-04-1864</t>
  </si>
  <si>
    <t>09-06-1997</t>
  </si>
  <si>
    <t>09-06-1993</t>
  </si>
  <si>
    <t>08-06-2002</t>
  </si>
  <si>
    <t>TABLE 10.1</t>
  </si>
  <si>
    <t>TABLE 10.2</t>
  </si>
  <si>
    <t>TABLE 9.2</t>
  </si>
  <si>
    <t>TABLE 9.1</t>
  </si>
  <si>
    <t>TABLE 8.4</t>
  </si>
  <si>
    <t>TABLE 8.3</t>
  </si>
  <si>
    <t>TABLE 8.2(a)</t>
  </si>
  <si>
    <t>TABLE 8.1</t>
  </si>
  <si>
    <t>TABLE 6.1</t>
  </si>
  <si>
    <t>TABLE 5.8</t>
  </si>
  <si>
    <t>TABLE 5.7</t>
  </si>
  <si>
    <t>TABLE 5.6</t>
  </si>
  <si>
    <t>TABLE 5.5(a)</t>
  </si>
  <si>
    <t>TABLE 5.5</t>
  </si>
  <si>
    <t>TABLE 5.4</t>
  </si>
  <si>
    <t>TABLE 5.3(e)</t>
  </si>
  <si>
    <t>Manufacture of Food Products</t>
  </si>
  <si>
    <t>Manufacture of  beverages</t>
  </si>
  <si>
    <t>Manufacture of Tobacco Products</t>
  </si>
  <si>
    <t>Manufacture of coke and refined petroleum products</t>
  </si>
  <si>
    <t>Manufacture of other non-metallic mineral products</t>
  </si>
  <si>
    <t>Manufacture of wood and products of wood and cork, except furniture; manufacture of articles of straw and plaiting materials</t>
  </si>
  <si>
    <t>Manufacture of fabricated metal products, except machinery and equipment</t>
  </si>
  <si>
    <t>Repair and installation of mechinery and equipment</t>
  </si>
  <si>
    <t>Wholesale and retail trade and repair of motor vehicles and motorcycles</t>
  </si>
  <si>
    <t>Warehousing and support activities for transportation</t>
  </si>
  <si>
    <t>Manufacture of rubber and plastic products</t>
  </si>
  <si>
    <t>NIC ' 08 Code</t>
  </si>
  <si>
    <t>TABLE 5.3(d)</t>
  </si>
  <si>
    <t xml:space="preserve">TABLE 5.3(c)  </t>
  </si>
  <si>
    <t>TABLE 5.3(b)</t>
  </si>
  <si>
    <t>TABLE 5.3(a)</t>
  </si>
  <si>
    <t>TABLE 5.3</t>
  </si>
  <si>
    <t>TABLE 5.2</t>
  </si>
  <si>
    <t>TABLE 5.1(b)</t>
  </si>
  <si>
    <t>TABLE 5.1(a)</t>
  </si>
  <si>
    <t>TABLE 5.1</t>
  </si>
  <si>
    <t>TABLE 4.8</t>
  </si>
  <si>
    <t>TABLE 4.7</t>
  </si>
  <si>
    <t>TABLE 4.6</t>
  </si>
  <si>
    <t>TABLE 4.5</t>
  </si>
  <si>
    <t>TABLE 4.4</t>
  </si>
  <si>
    <t>TABLE 4.3(c)</t>
  </si>
  <si>
    <t>TABLE 4.3(b)</t>
  </si>
  <si>
    <t>TABLE 4.3(a)</t>
  </si>
  <si>
    <t>TABLE 4.2(c)</t>
  </si>
  <si>
    <t>TABLE 4.2(b)</t>
  </si>
  <si>
    <t>TABLE 4.2(a)</t>
  </si>
  <si>
    <t>TABLE 4.1(c)</t>
  </si>
  <si>
    <t>All crops combined</t>
  </si>
  <si>
    <t>Area by Class of forest</t>
  </si>
  <si>
    <t>Vested waste land</t>
  </si>
  <si>
    <t>Warehouses</t>
  </si>
  <si>
    <t>Cold Storages</t>
  </si>
  <si>
    <t>Bulls and Bullocks</t>
  </si>
  <si>
    <t>Total Cattle</t>
  </si>
  <si>
    <t>Total Buffaloes</t>
  </si>
  <si>
    <t>Other Live-stock</t>
  </si>
  <si>
    <t>Total Live-stock</t>
  </si>
  <si>
    <t>Total Poultry</t>
  </si>
  <si>
    <t>No. of persons died</t>
  </si>
  <si>
    <t>Collection</t>
  </si>
  <si>
    <t>TABLE 4.1(b)</t>
  </si>
  <si>
    <t>TABLE 4.1(a)</t>
  </si>
  <si>
    <t>TABLE 3.3</t>
  </si>
  <si>
    <t>TABLE 3.2(a)</t>
  </si>
  <si>
    <t>TABLE 3.2</t>
  </si>
  <si>
    <t>TABLE 3.1</t>
  </si>
  <si>
    <t>TABLE 2.11</t>
  </si>
  <si>
    <t>(I)</t>
  </si>
  <si>
    <t>Km.</t>
  </si>
  <si>
    <t>' 000 KWH</t>
  </si>
  <si>
    <t>TABLE 2.10(a)</t>
  </si>
  <si>
    <t>TABLE 2.10</t>
  </si>
  <si>
    <t>TABLE 2.9</t>
  </si>
  <si>
    <t>TABLE 2.8</t>
  </si>
  <si>
    <t>TABLE 2.7</t>
  </si>
  <si>
    <t>TABLE 2.6</t>
  </si>
  <si>
    <t>TABLE 2.5(b)</t>
  </si>
  <si>
    <t>TABLE 2.5(a)</t>
  </si>
  <si>
    <t>TABLE 2.1(a)</t>
  </si>
  <si>
    <t>TABLE 2.1</t>
  </si>
  <si>
    <t>TABLE 1.4</t>
  </si>
  <si>
    <t>TABLE 1.2</t>
  </si>
  <si>
    <t>TABLE 1.3</t>
  </si>
  <si>
    <t>TABLE  7.1</t>
  </si>
  <si>
    <t>TABLE  8.2</t>
  </si>
  <si>
    <t>TABLE 9.2(b)</t>
  </si>
  <si>
    <t>TABLE  19.1</t>
  </si>
  <si>
    <t>BAHC  -  Block Animal Health Centre</t>
  </si>
  <si>
    <t>ABAHC  -  Additional Block Animal Health Centre</t>
  </si>
  <si>
    <t>MAHC  -  Mobile Animal Health Centre</t>
  </si>
  <si>
    <t xml:space="preserve">AIC  -  Artificial Insemination Centre </t>
  </si>
  <si>
    <t>ADAC  -  Animal Development Aid Centre</t>
  </si>
  <si>
    <t>4.4</t>
  </si>
  <si>
    <t>4.5</t>
  </si>
  <si>
    <t>4.6</t>
  </si>
  <si>
    <t>4.7</t>
  </si>
  <si>
    <t>4.8</t>
  </si>
  <si>
    <t>Main
 workers</t>
  </si>
  <si>
    <t>Marginal 
workers</t>
  </si>
  <si>
    <t>No.of Medical Institutions in</t>
  </si>
  <si>
    <t>Commercial 
Bank</t>
  </si>
  <si>
    <t>Gramin
 Bank</t>
  </si>
  <si>
    <t>5.1(a)</t>
  </si>
  <si>
    <t>5.1(b)</t>
  </si>
  <si>
    <t>GENERAL RECOGNIZED SCHOOLS</t>
  </si>
  <si>
    <t>GENERAL DEGREE COLLEGES</t>
  </si>
  <si>
    <t>5.3(a)</t>
  </si>
  <si>
    <t>Source : Census of India</t>
  </si>
  <si>
    <t>(Number in thousand)</t>
  </si>
  <si>
    <t>C.T.</t>
  </si>
  <si>
    <t>Kakdihi</t>
  </si>
  <si>
    <t>Goasafat</t>
  </si>
  <si>
    <t xml:space="preserve"> Source : Collector (Revenue), Purba Medinipur</t>
  </si>
  <si>
    <t>(d)Industrial Training Centres (ITC)</t>
  </si>
  <si>
    <t>Haldia Sub-Division</t>
  </si>
  <si>
    <t>Contai Sub-Division</t>
  </si>
  <si>
    <t>Egra Sub-Division</t>
  </si>
  <si>
    <t>Note : TT = Tetanus Toxoid</t>
  </si>
  <si>
    <t>TABLE 2.1(b)</t>
  </si>
  <si>
    <t>(f) Institute of Radiology / Pathology / Bio-Chemistry / Laboratory Technology / Radiography / Physiotherapy / Radiotherapy / ECG</t>
  </si>
  <si>
    <t>5.3(b)</t>
  </si>
  <si>
    <t>5.3(c)</t>
  </si>
  <si>
    <t>5.3(d)</t>
  </si>
  <si>
    <t>5.3(e)</t>
  </si>
  <si>
    <t>Area &amp; Production of Flowers</t>
  </si>
  <si>
    <t>Sum assured 
(Rs.in Crore)</t>
  </si>
  <si>
    <t>Premium Income (Rs. in thousand)</t>
  </si>
  <si>
    <t>5.5(a)</t>
  </si>
  <si>
    <t xml:space="preserve">Haldia </t>
  </si>
  <si>
    <t>8.2(a)</t>
  </si>
  <si>
    <t>9.2(a)</t>
  </si>
  <si>
    <t>9.2(b)</t>
  </si>
  <si>
    <t>11.1(a)</t>
  </si>
  <si>
    <t>Progress in Tourism</t>
  </si>
  <si>
    <t>Jan Shikshan Sansthan</t>
  </si>
  <si>
    <t>* In bales / hectare</t>
  </si>
  <si>
    <t>TABLE 6.2</t>
  </si>
  <si>
    <t xml:space="preserve">*  Upto Sept.2006     </t>
  </si>
  <si>
    <t>**  From October ' 06 to March ' 07</t>
  </si>
  <si>
    <t>TABLE  12.5</t>
  </si>
  <si>
    <t>TABLE 12.7</t>
  </si>
  <si>
    <t>Bhagawanpur-I
Bhagawanpur-II</t>
  </si>
  <si>
    <t>** In bales per hectare</t>
  </si>
  <si>
    <t>2.1(b)</t>
  </si>
  <si>
    <t>Year 
(as on the 
last Friday 
of June)</t>
  </si>
  <si>
    <t xml:space="preserve">Co-operative Societies in the Blocks </t>
  </si>
  <si>
    <t>4.1(a)</t>
  </si>
  <si>
    <t>4.1(c)</t>
  </si>
  <si>
    <t>4.2(a)</t>
  </si>
  <si>
    <t>4.2(b)</t>
  </si>
  <si>
    <t>4.2(c)</t>
  </si>
  <si>
    <t>4.3(a)</t>
  </si>
  <si>
    <t>4.3(b)</t>
  </si>
  <si>
    <t>4.3(c)</t>
  </si>
  <si>
    <t>Number of 
Cinema House</t>
  </si>
  <si>
    <t>Sitting Capacity 
(Number)</t>
  </si>
  <si>
    <t>Name of 
Flowers</t>
  </si>
  <si>
    <t>thousand 
cu.metre</t>
  </si>
  <si>
    <t>Rs.
in thousand</t>
  </si>
  <si>
    <t>,,</t>
  </si>
  <si>
    <t>4 *</t>
  </si>
  <si>
    <t>M</t>
  </si>
  <si>
    <t>TABLE 2.10(a) (Concld.)</t>
  </si>
  <si>
    <t>TABLE 3.1 (Concld.)</t>
  </si>
  <si>
    <t xml:space="preserve">          DPT = Diphtheria Pertussis Tetanus</t>
  </si>
  <si>
    <t>Sources : As in Table No. 4.1(a), 4.1(b), 4.1(c)</t>
  </si>
  <si>
    <t>4.1(b)</t>
  </si>
  <si>
    <t>Base : Triennium ending crop year 1981-82 = 100</t>
  </si>
  <si>
    <t>Cereals</t>
  </si>
  <si>
    <t>Productivity</t>
  </si>
  <si>
    <t xml:space="preserve">Description </t>
  </si>
  <si>
    <t>Year</t>
  </si>
  <si>
    <t>Unit</t>
  </si>
  <si>
    <t xml:space="preserve"> Particulars</t>
  </si>
  <si>
    <t>Number</t>
  </si>
  <si>
    <t>Inhabited Villages</t>
  </si>
  <si>
    <t>Municipal Corporation</t>
  </si>
  <si>
    <t>Municipality</t>
  </si>
  <si>
    <t>Gram Panchayat</t>
  </si>
  <si>
    <t>Gram Sansad</t>
  </si>
  <si>
    <t>Area and Population :</t>
  </si>
  <si>
    <t xml:space="preserve">Area </t>
  </si>
  <si>
    <t>Population</t>
  </si>
  <si>
    <t>"</t>
  </si>
  <si>
    <t xml:space="preserve">                    Female</t>
  </si>
  <si>
    <t xml:space="preserve">                    Rural</t>
  </si>
  <si>
    <t xml:space="preserve">                    Urban</t>
  </si>
  <si>
    <t>m.m.</t>
  </si>
  <si>
    <t>Temperature : Maximum</t>
  </si>
  <si>
    <t>Degree Celsius</t>
  </si>
  <si>
    <t>..</t>
  </si>
  <si>
    <t>Workers :</t>
  </si>
  <si>
    <t>Total workers</t>
  </si>
  <si>
    <t>Non-workers</t>
  </si>
  <si>
    <t>Agriculture and Irrigation:</t>
  </si>
  <si>
    <t>Cropped area</t>
  </si>
  <si>
    <t>Sub-Division / C.D.Block/M</t>
  </si>
  <si>
    <t>Total beds</t>
  </si>
  <si>
    <t>General College</t>
  </si>
  <si>
    <t>Industry:</t>
  </si>
  <si>
    <t>Employment in:</t>
  </si>
  <si>
    <t>Employment Situation:</t>
  </si>
  <si>
    <t>Balaiponda</t>
  </si>
  <si>
    <t>Electricity :</t>
  </si>
  <si>
    <t>Co-operative Societies :</t>
  </si>
  <si>
    <t>Societies</t>
  </si>
  <si>
    <t>Members</t>
  </si>
  <si>
    <t>Working Capital</t>
  </si>
  <si>
    <t>Commercial Bank</t>
  </si>
  <si>
    <t>Transport &amp; Communication:</t>
  </si>
  <si>
    <t>Surfaced</t>
  </si>
  <si>
    <t>Finance :</t>
  </si>
  <si>
    <t>No.of 
Employees</t>
  </si>
  <si>
    <t>Latitude</t>
  </si>
  <si>
    <t>Longitude</t>
  </si>
  <si>
    <t xml:space="preserve"> North</t>
  </si>
  <si>
    <t xml:space="preserve">Urban </t>
  </si>
  <si>
    <t>Popu-lation</t>
  </si>
  <si>
    <t>P.C to total Popu-lation of the Block</t>
  </si>
  <si>
    <t>P.C to total Popu-
lation of the Block</t>
  </si>
  <si>
    <t>House-
holds</t>
  </si>
  <si>
    <t>South</t>
  </si>
  <si>
    <t xml:space="preserve"> East  </t>
  </si>
  <si>
    <t>West</t>
  </si>
  <si>
    <t>Statutory
 ration shop</t>
  </si>
  <si>
    <t>Modified
 ration shop</t>
  </si>
  <si>
    <t>Name of district head quarters</t>
  </si>
  <si>
    <t>(1)</t>
  </si>
  <si>
    <t>(2)</t>
  </si>
  <si>
    <t>(3)</t>
  </si>
  <si>
    <t>(4)</t>
  </si>
  <si>
    <t>(5)</t>
  </si>
  <si>
    <t>' 000 mt</t>
  </si>
  <si>
    <t>(6)</t>
  </si>
  <si>
    <t>(7)</t>
  </si>
  <si>
    <t>Month</t>
  </si>
  <si>
    <t>All Group Combined Index</t>
  </si>
  <si>
    <t>Normal</t>
  </si>
  <si>
    <t>Actual</t>
  </si>
  <si>
    <t>January</t>
  </si>
  <si>
    <t>February</t>
  </si>
  <si>
    <t>March</t>
  </si>
  <si>
    <t>April</t>
  </si>
  <si>
    <t>May</t>
  </si>
  <si>
    <t>June</t>
  </si>
  <si>
    <t>July</t>
  </si>
  <si>
    <t>August</t>
  </si>
  <si>
    <t>September</t>
  </si>
  <si>
    <t>October</t>
  </si>
  <si>
    <t>November</t>
  </si>
  <si>
    <t>December</t>
  </si>
  <si>
    <t>Total</t>
  </si>
  <si>
    <t>Registered Factories (Registered under Factory Act)  (C)</t>
  </si>
  <si>
    <t>New Factories registered with Directorate of Cottage and Small Scale Industries (C)
(as on 31st March)</t>
  </si>
  <si>
    <t xml:space="preserve"> Public 
Library</t>
  </si>
  <si>
    <t>Free Reading
 Room</t>
  </si>
  <si>
    <t>Tamluk
SahidMatangini</t>
  </si>
  <si>
    <t>Nandakumar
Mahisadal</t>
  </si>
  <si>
    <t>Sutahata
Haldia</t>
  </si>
  <si>
    <t>Khejuri-I
Khejuri-II</t>
  </si>
  <si>
    <t>Ramnagar-I
Ramnagar-II</t>
  </si>
  <si>
    <t>Egra-I
Egra-II</t>
  </si>
  <si>
    <t>(8)</t>
  </si>
  <si>
    <t>(9)</t>
  </si>
  <si>
    <t>(10)</t>
  </si>
  <si>
    <t>(11)</t>
  </si>
  <si>
    <t xml:space="preserve">     (Degree Celsius)</t>
  </si>
  <si>
    <t>Mean</t>
  </si>
  <si>
    <t>Sub-Division</t>
  </si>
  <si>
    <t>Panchayat</t>
  </si>
  <si>
    <t>Samity</t>
  </si>
  <si>
    <t>Gram</t>
  </si>
  <si>
    <t>(2001)</t>
  </si>
  <si>
    <t>(Number)</t>
  </si>
  <si>
    <t>Town</t>
  </si>
  <si>
    <t>Geographical Location</t>
  </si>
  <si>
    <t>Monthly Rainfall</t>
  </si>
  <si>
    <t>Source : Meteorological Department, Govt. of India</t>
  </si>
  <si>
    <t>After the introduction of the Micro, Small and Medium Enterprises Development Act in October, 2006 the registration system has been abolished &amp; the figures from October, 2006 onwards for Purba Medinipur only</t>
  </si>
  <si>
    <t>Centre : Medinipur</t>
  </si>
  <si>
    <t>TABLE 18.1 (Contd.)</t>
  </si>
  <si>
    <t>TABLE 18.1 (Concld.)</t>
  </si>
  <si>
    <t>Population by religion</t>
  </si>
  <si>
    <t>Achievement of Universal Immunization Programme</t>
  </si>
  <si>
    <t>Teachers in different type of General Educational Institutions</t>
  </si>
  <si>
    <t>Cinema Houses</t>
  </si>
  <si>
    <t>Newspapers and Periodicals published</t>
  </si>
  <si>
    <t>Progress of Commercial Banking</t>
  </si>
  <si>
    <t>Consumption of Electricity</t>
  </si>
  <si>
    <t>Police Stations and Out-posts</t>
  </si>
  <si>
    <t>Receipt and Expenditure of Zilla Parishad</t>
  </si>
  <si>
    <t>Population by religion in the Blocks</t>
  </si>
  <si>
    <t>Commercial and Gramin Banks in the Blocks</t>
  </si>
  <si>
    <t>2) Base 1991=100 only for Purba Medinipur from 1991 onwards</t>
  </si>
  <si>
    <t>P.C. of Col. (4) to respective total population</t>
  </si>
  <si>
    <t>P.C. to respective total population</t>
  </si>
  <si>
    <t>Source : C.M.O.H, Purba Medinipur</t>
  </si>
  <si>
    <t>No. of offices</t>
  </si>
  <si>
    <t>Directorate of Cottage and Small Scale Industries, 
Govt. of  W.B.</t>
  </si>
  <si>
    <t>Manufacture of chemicals and chemical products</t>
  </si>
  <si>
    <t>Registered Factories  (C)
(Registered under Factory Act)
(As on 31st December)</t>
  </si>
  <si>
    <t>Manufacture of basic metals</t>
  </si>
  <si>
    <t>No.</t>
  </si>
  <si>
    <t>Ward</t>
  </si>
  <si>
    <t>Constituency</t>
  </si>
  <si>
    <t>Scheduled Castes</t>
  </si>
  <si>
    <t>Scheduled Tribes</t>
  </si>
  <si>
    <t>Assembly</t>
  </si>
  <si>
    <t>GENERAL UNIVERSITIES (excluding 
completely Technical Universities)</t>
  </si>
  <si>
    <t>(d) Railway (ER / SER) / DVC etc.</t>
  </si>
  <si>
    <t>Parliamentary</t>
  </si>
  <si>
    <t>Source : Census of India, 1991 &amp; 2001</t>
  </si>
  <si>
    <t>Male</t>
  </si>
  <si>
    <t>Female</t>
  </si>
  <si>
    <t>Urban</t>
  </si>
  <si>
    <t>Rural</t>
  </si>
  <si>
    <t>Age group (Years)</t>
  </si>
  <si>
    <t>P.C.</t>
  </si>
  <si>
    <t>(12)</t>
  </si>
  <si>
    <t xml:space="preserve">2010-11 </t>
  </si>
  <si>
    <t>(13)</t>
  </si>
  <si>
    <t>(14)</t>
  </si>
  <si>
    <t>(15)</t>
  </si>
  <si>
    <t>(16)</t>
  </si>
  <si>
    <t>(17)</t>
  </si>
  <si>
    <t>(19)</t>
  </si>
  <si>
    <t>(18)</t>
  </si>
  <si>
    <t>0-4</t>
  </si>
  <si>
    <t>5-9</t>
  </si>
  <si>
    <t>3) Education cell under each Municipality / Local Body</t>
  </si>
  <si>
    <t>4) Each of Anglo Indian, ICSE &amp; CBSE Institutions</t>
  </si>
  <si>
    <t>1) D.I. of Schools (Primary)</t>
  </si>
  <si>
    <t>2) D.I. of Schools (Secondary)</t>
  </si>
  <si>
    <t xml:space="preserve">4) Each of Anglo Indian, ICSE &amp; CBSE Institutions </t>
  </si>
  <si>
    <t>Inhabited Villages (R)</t>
  </si>
  <si>
    <t>100*</t>
  </si>
  <si>
    <t>85*</t>
  </si>
  <si>
    <t>73*</t>
  </si>
  <si>
    <r>
      <t>166</t>
    </r>
    <r>
      <rPr>
        <vertAlign val="superscript"/>
        <sz val="10"/>
        <rFont val="Arial"/>
        <family val="2"/>
      </rPr>
      <t>#</t>
    </r>
  </si>
  <si>
    <t>Source : Agri.Marketing Officer (Administrative), Tamluk, Purba Medinipur</t>
  </si>
  <si>
    <t>10-14</t>
  </si>
  <si>
    <t>15-19</t>
  </si>
  <si>
    <t>20-24</t>
  </si>
  <si>
    <t>25-29</t>
  </si>
  <si>
    <t>30-34</t>
  </si>
  <si>
    <t>35-39</t>
  </si>
  <si>
    <t xml:space="preserve">District Total </t>
  </si>
  <si>
    <t>4*</t>
  </si>
  <si>
    <t>Type of 
society / Year</t>
  </si>
  <si>
    <t>Working
 capital 
(Rs.in
 thousand)</t>
  </si>
  <si>
    <t xml:space="preserve"> 4) Agricultural Census (2010-11)</t>
  </si>
  <si>
    <t>Notes : 1) Marginal farmer possesses agricultural 
                 land measuring upto 1 hectare</t>
  </si>
  <si>
    <t>40-44</t>
  </si>
  <si>
    <t>45-49</t>
  </si>
  <si>
    <t>50-54</t>
  </si>
  <si>
    <t>55-59</t>
  </si>
  <si>
    <t>60-64</t>
  </si>
  <si>
    <t>65-69</t>
  </si>
  <si>
    <t>All Ages</t>
  </si>
  <si>
    <t>70-74</t>
  </si>
  <si>
    <t>75-79</t>
  </si>
  <si>
    <t>80+</t>
  </si>
  <si>
    <t xml:space="preserve">Male </t>
  </si>
  <si>
    <t>PC to TW</t>
  </si>
  <si>
    <t>Cultivators</t>
  </si>
  <si>
    <t>Class of Total Workers</t>
  </si>
  <si>
    <t>Agricultural Labourers</t>
  </si>
  <si>
    <t>Other Workers</t>
  </si>
  <si>
    <t>TABLE 3.3(a)</t>
  </si>
  <si>
    <t>Household Ind. Workers</t>
  </si>
  <si>
    <t>Total Population</t>
  </si>
  <si>
    <t>Category</t>
  </si>
  <si>
    <t>A</t>
  </si>
  <si>
    <t>Total Workers :</t>
  </si>
  <si>
    <t>(a)</t>
  </si>
  <si>
    <t>(P) = Part</t>
  </si>
  <si>
    <t>31.10.2013 (P)</t>
  </si>
  <si>
    <t>Administrative Set-up :</t>
  </si>
  <si>
    <t>Medical Facilities :</t>
  </si>
  <si>
    <t>Main workers :</t>
  </si>
  <si>
    <t xml:space="preserve">Total </t>
  </si>
  <si>
    <t>(b)</t>
  </si>
  <si>
    <t>Marginal workers :</t>
  </si>
  <si>
    <t>B</t>
  </si>
  <si>
    <t>Non-workers :</t>
  </si>
  <si>
    <t>A.</t>
  </si>
  <si>
    <t>142000*</t>
  </si>
  <si>
    <t>3685*</t>
  </si>
  <si>
    <t>Cultivators :</t>
  </si>
  <si>
    <t>Agricultural Labourers :</t>
  </si>
  <si>
    <t>Household Industry Workers :</t>
  </si>
  <si>
    <t>Other Workers :</t>
  </si>
  <si>
    <t>Total Workers : (1+2+3+4) = (a+b)</t>
  </si>
  <si>
    <t xml:space="preserve">      Total</t>
  </si>
  <si>
    <t xml:space="preserve">      Rural</t>
  </si>
  <si>
    <t xml:space="preserve">      Urban</t>
  </si>
  <si>
    <r>
      <t xml:space="preserve">Percentage of Population </t>
    </r>
    <r>
      <rPr>
        <b/>
        <sz val="10"/>
        <color indexed="48"/>
        <rFont val="Arial"/>
        <family val="2"/>
      </rPr>
      <t xml:space="preserve">: </t>
    </r>
    <r>
      <rPr>
        <sz val="10"/>
        <color indexed="48"/>
        <rFont val="Arial"/>
        <family val="2"/>
      </rPr>
      <t xml:space="preserve"> </t>
    </r>
  </si>
  <si>
    <t>Municipal Corporations</t>
  </si>
  <si>
    <t>Municipalities</t>
  </si>
  <si>
    <t>Blocks</t>
  </si>
  <si>
    <t>Others</t>
  </si>
  <si>
    <t>Religion not stated</t>
  </si>
  <si>
    <t>Source : Census of India, 2001</t>
  </si>
  <si>
    <t>Disability</t>
  </si>
  <si>
    <t xml:space="preserve">Haldia(M) </t>
  </si>
  <si>
    <t>Institution</t>
  </si>
  <si>
    <t>Student</t>
  </si>
  <si>
    <t>Teacher</t>
  </si>
  <si>
    <t>DISTRICT STATISTICAL HANDBOOK</t>
  </si>
  <si>
    <t>PREFACE</t>
  </si>
  <si>
    <t>Dated, Kolkata</t>
  </si>
  <si>
    <t>Bureau of Applied Economics &amp; Statistics</t>
  </si>
  <si>
    <t xml:space="preserve">   Government of West Bengal</t>
  </si>
  <si>
    <t>Sl. No.</t>
  </si>
  <si>
    <t xml:space="preserve"> Haldia</t>
  </si>
  <si>
    <t>Mouzas</t>
  </si>
  <si>
    <t>No. of Constituencies reserved for</t>
  </si>
  <si>
    <t>Name of
 the district</t>
  </si>
  <si>
    <t>For the Year</t>
  </si>
  <si>
    <t>Police
 Station</t>
  </si>
  <si>
    <t>C.D.
Block / M</t>
  </si>
  <si>
    <t>Municipal
 Corporation</t>
  </si>
  <si>
    <t>Notified
 Area</t>
  </si>
  <si>
    <t>No.of     
policies</t>
  </si>
  <si>
    <t>Renewal 
Premium</t>
  </si>
  <si>
    <t>Percentage of Irrigated area 
to Cultivated area</t>
  </si>
  <si>
    <t>* Including two Partial constituencies</t>
  </si>
  <si>
    <t>No.of female
 per 100 males</t>
  </si>
  <si>
    <t>Index with 
1901 as base</t>
  </si>
  <si>
    <t>P.C. of rural
 population to
 total population</t>
  </si>
  <si>
    <t>Total
 Population</t>
  </si>
  <si>
    <t>Urban 
Population</t>
  </si>
  <si>
    <t xml:space="preserve">(a) less than 50 hectares         </t>
  </si>
  <si>
    <t>Public
 lighting</t>
  </si>
  <si>
    <t>All Establishments</t>
  </si>
  <si>
    <t>Agri-
cultural</t>
  </si>
  <si>
    <t>Non-
agricultural</t>
  </si>
  <si>
    <t>DTW= Deep Tubewell =HDTW+MDTW+LDTW</t>
  </si>
  <si>
    <t>Rural
 Population</t>
  </si>
  <si>
    <t>Religious
 communities</t>
  </si>
  <si>
    <t xml:space="preserve">Population </t>
  </si>
  <si>
    <t>Hospitals</t>
  </si>
  <si>
    <t>Digha Mohana Coastal</t>
  </si>
  <si>
    <t xml:space="preserve">Source : </t>
  </si>
  <si>
    <t xml:space="preserve">Births &amp; Deaths in different Hospitals &amp; Health Centres </t>
  </si>
  <si>
    <t>Patients treated in Hospitals, Health Centres &amp; Sub-centres</t>
  </si>
  <si>
    <t>Institutions, Students &amp; Teachers by Block &amp; Municipality</t>
  </si>
  <si>
    <t>Advances
(Rs. in 
Crore)</t>
  </si>
  <si>
    <t>Source : Census of India, 2001&amp; 2011</t>
  </si>
  <si>
    <t>No. of Cases treated</t>
  </si>
  <si>
    <t xml:space="preserve"> Total 
Number 
of
 Doctors</t>
  </si>
  <si>
    <t>1) Directorate of Agriculture, Govt. of  W.B.</t>
  </si>
  <si>
    <t>No. of Deaths by age group</t>
  </si>
  <si>
    <t xml:space="preserve">Sub-Division / 
C.D.Block / M </t>
  </si>
  <si>
    <t>Professional &amp; Technical Schools,
Colleges &amp; Universities</t>
  </si>
  <si>
    <t>Oct.2006 - Mar.2007</t>
  </si>
  <si>
    <t>Sub-Division / 
C.D.Block /  M</t>
  </si>
  <si>
    <t>Gram Panchayat &amp; 
Panchayat Samity</t>
  </si>
  <si>
    <t>`</t>
  </si>
  <si>
    <t>3) District Mass Education Extension Officer</t>
  </si>
  <si>
    <t>All other Commercial &amp; Vocational Institutions (Affiliated to W.B.State Council of Technical Education)</t>
  </si>
  <si>
    <r>
      <t xml:space="preserve">Recognized </t>
    </r>
    <r>
      <rPr>
        <b/>
        <u/>
        <sz val="10"/>
        <color indexed="60"/>
        <rFont val="Arial"/>
        <family val="2"/>
      </rPr>
      <t>Primary Schools</t>
    </r>
    <r>
      <rPr>
        <b/>
        <sz val="10"/>
        <color indexed="60"/>
        <rFont val="Arial"/>
        <family val="2"/>
      </rPr>
      <t xml:space="preserve"> under the control of 
or of the type of</t>
    </r>
  </si>
  <si>
    <r>
      <t xml:space="preserve">Recognized </t>
    </r>
    <r>
      <rPr>
        <b/>
        <u/>
        <sz val="10"/>
        <color indexed="60"/>
        <rFont val="Arial"/>
        <family val="2"/>
      </rPr>
      <t>Middle Schools</t>
    </r>
    <r>
      <rPr>
        <b/>
        <sz val="10"/>
        <color indexed="60"/>
        <rFont val="Arial"/>
        <family val="2"/>
      </rPr>
      <t xml:space="preserve"> under the control of 
or of the type of</t>
    </r>
  </si>
  <si>
    <r>
      <t xml:space="preserve">Recognized </t>
    </r>
    <r>
      <rPr>
        <b/>
        <u/>
        <sz val="10"/>
        <color indexed="60"/>
        <rFont val="Arial"/>
        <family val="2"/>
      </rPr>
      <t>High Schools</t>
    </r>
    <r>
      <rPr>
        <b/>
        <sz val="10"/>
        <color indexed="60"/>
        <rFont val="Arial"/>
        <family val="2"/>
      </rPr>
      <t xml:space="preserve"> under the control of 
or of the type of</t>
    </r>
  </si>
  <si>
    <r>
      <t xml:space="preserve">Recognized </t>
    </r>
    <r>
      <rPr>
        <b/>
        <u/>
        <sz val="10"/>
        <color indexed="60"/>
        <rFont val="Arial"/>
        <family val="2"/>
      </rPr>
      <t>Higher Secondary Schools</t>
    </r>
    <r>
      <rPr>
        <b/>
        <sz val="10"/>
        <color indexed="60"/>
        <rFont val="Arial"/>
        <family val="2"/>
      </rPr>
      <t xml:space="preserve"> under the 
control of or of the type of</t>
    </r>
  </si>
  <si>
    <t>Source : Agricultural Income Tax Officer, Purba Medinipur</t>
  </si>
  <si>
    <t>30.11.2010</t>
  </si>
  <si>
    <t>Census Town</t>
  </si>
  <si>
    <t>Out-
growth</t>
  </si>
  <si>
    <t>Index Numbers of Agricultural Area, Production and Productivity (Base:1981-82 = 100)</t>
  </si>
  <si>
    <t>Area, Production and Yield rates of Major Crops in the Blocks</t>
  </si>
  <si>
    <t>District Head Quarters</t>
  </si>
  <si>
    <t>Sub-divisions</t>
  </si>
  <si>
    <t>Sq. km.</t>
  </si>
  <si>
    <t>Post &amp; Telegraph Offices (Combined)</t>
  </si>
  <si>
    <t>Rural Population</t>
  </si>
  <si>
    <t>Urban Population</t>
  </si>
  <si>
    <t>Rural  Population</t>
  </si>
  <si>
    <t xml:space="preserve">Urban  Population </t>
  </si>
  <si>
    <t>Total  Population</t>
  </si>
  <si>
    <t>M/C.T.</t>
  </si>
  <si>
    <t>Total Workers
(TW)</t>
  </si>
  <si>
    <t>* Included in "Others"</t>
  </si>
  <si>
    <t>Barren &amp;
 uncultur-
able land</t>
  </si>
  <si>
    <t>Index Numbers of Agricultural Area, Production &amp; Productivity in the district of  Medinipur(C)</t>
  </si>
  <si>
    <t>Source : Asstt. Registrar of Co-operative Societies,
              Tamluk &amp; Contai Range, Purba Medinipur</t>
  </si>
  <si>
    <t>Tasar 
(Thousand Kahans)</t>
  </si>
  <si>
    <t>Muga (Thousand Kahans)</t>
  </si>
  <si>
    <t>Skilled &amp; Semi-skilled</t>
  </si>
  <si>
    <t xml:space="preserve">Tamarind (Without seed) </t>
  </si>
  <si>
    <t>2) Dy. Director of Agriculture
    (Admn.), Purba Medinipur</t>
  </si>
  <si>
    <t>Population by religion in the Blocks of Purba Medinipur</t>
  </si>
  <si>
    <t>30.11.2011</t>
  </si>
  <si>
    <t>Primary School</t>
  </si>
  <si>
    <t>Middle School</t>
  </si>
  <si>
    <t>High School</t>
  </si>
  <si>
    <t>Source : Divisional Forest Officer, Tamluk , Purba Medinipur</t>
  </si>
  <si>
    <t xml:space="preserve"> District Total  2011</t>
  </si>
  <si>
    <t>No. of Unreserved
 Constituencies</t>
  </si>
  <si>
    <t>Sub-Division / Town</t>
  </si>
  <si>
    <t>7) Each Study Centre of Open University</t>
  </si>
  <si>
    <t>Manufacture of machinery and equipment n. e. c.*</t>
  </si>
  <si>
    <t>23
24
25</t>
  </si>
  <si>
    <t>1) All B.D.O.s, Purba Medinipur</t>
  </si>
  <si>
    <t>Note : Area in hectare, Production in Thousand  MT and Yield rate in kg./ hect.</t>
  </si>
  <si>
    <t>Eri
(Kg.)</t>
  </si>
  <si>
    <t>Higher Secondary School</t>
  </si>
  <si>
    <t>(2011)</t>
  </si>
  <si>
    <t>Census of India, 2001 &amp; 2011</t>
  </si>
  <si>
    <t>(Area in thousand hectares)</t>
  </si>
  <si>
    <t>Area of 
holdings</t>
  </si>
  <si>
    <t>Average size of holdings (hect.)</t>
  </si>
  <si>
    <t>1.0 hectare and above but less than 2.0 hectares</t>
  </si>
  <si>
    <t>Recipients 
(No.)</t>
  </si>
  <si>
    <t>(Thousand hectares)</t>
  </si>
  <si>
    <t>(Thousand tonnes)</t>
  </si>
  <si>
    <t>N.B. : 1 Ganda = 4 No, 1 Pon = 20 Ganda =  80 No. 
          1 Kahan = 16 Pon = 320 Ganda = 1280 No.</t>
  </si>
  <si>
    <t xml:space="preserve">Micro &amp; Small Scale Enterprises with corresponding Employment 
in the district of Purba Medinipur </t>
  </si>
  <si>
    <t>Consumer Price Index Numbers for Families
of all Expenditure Groups Combined 
in the district of Purba Medinipur</t>
  </si>
  <si>
    <t>Estimated Number of Live-stock and Poultry in the Blocks</t>
  </si>
  <si>
    <t>Distribution of Operational Holdings over size-classes</t>
  </si>
  <si>
    <t>Distribution of Population by sex in different towns</t>
  </si>
  <si>
    <t xml:space="preserve">Length of Roads maintained by Municipalities </t>
  </si>
  <si>
    <r>
      <t xml:space="preserve">Amount disbursed 
</t>
    </r>
    <r>
      <rPr>
        <sz val="10"/>
        <color indexed="57"/>
        <rFont val="Arial Narrow"/>
        <family val="2"/>
      </rPr>
      <t>(in thousand rupees)</t>
    </r>
  </si>
  <si>
    <t>Electricity
 Duty</t>
  </si>
  <si>
    <t>Taxes on 
Vehicles</t>
  </si>
  <si>
    <t>Sales 
Tax</t>
  </si>
  <si>
    <t>Excise 
Revenue</t>
  </si>
  <si>
    <t>Land 
Revenue</t>
  </si>
  <si>
    <t>Other 
Taxes</t>
  </si>
  <si>
    <t>Fibres :*</t>
  </si>
  <si>
    <t>Fibres * :</t>
  </si>
  <si>
    <t>Rapeseed &amp; Mustard</t>
  </si>
  <si>
    <t xml:space="preserve">                                                                                               (Millimetre)</t>
  </si>
  <si>
    <t>N.B. : Panskura (M) newly formed in June, 2002</t>
  </si>
  <si>
    <t xml:space="preserve"> Egra</t>
  </si>
  <si>
    <t xml:space="preserve"> Contai</t>
  </si>
  <si>
    <t xml:space="preserve"> Panskura</t>
  </si>
  <si>
    <t>Egra Sub-Div.</t>
  </si>
  <si>
    <t>Tamluk Sub-Div.</t>
  </si>
  <si>
    <t>Haldia Sub-Div.</t>
  </si>
  <si>
    <t>Potashpur-I</t>
  </si>
  <si>
    <t>Potashpur-II</t>
  </si>
  <si>
    <t>Contai Sub-Div.</t>
  </si>
  <si>
    <t>Panchayat Samity</t>
  </si>
  <si>
    <t>Tamluk Sub-Division</t>
  </si>
  <si>
    <t>Haldia Sub- Division</t>
  </si>
  <si>
    <t>Contai Sub- Division</t>
  </si>
  <si>
    <t xml:space="preserve">Sources : </t>
  </si>
  <si>
    <t>Public</t>
  </si>
  <si>
    <t>Private</t>
  </si>
  <si>
    <t>*</t>
  </si>
  <si>
    <t>Vasectomy</t>
  </si>
  <si>
    <t>Tubectomy</t>
  </si>
  <si>
    <t>I.U.D.</t>
  </si>
  <si>
    <t>Year
(Census)</t>
  </si>
  <si>
    <t>No. of Family Welfare Centres</t>
  </si>
  <si>
    <t>No. of accidents occurred</t>
  </si>
  <si>
    <t>No. of 
Members</t>
  </si>
  <si>
    <t>Mass Literacy Centre 
(Continuing Education Programme )</t>
  </si>
  <si>
    <t>' 000 
hectares</t>
  </si>
  <si>
    <t xml:space="preserve"> 0-4</t>
  </si>
  <si>
    <t>TABLE 2.7 (Concld.)</t>
  </si>
  <si>
    <t>Madhyamik Siksha Kendras</t>
  </si>
  <si>
    <t>P.C. to total Popu-lation of the Block</t>
  </si>
  <si>
    <t>Patashpur-I
Patashpur-II</t>
  </si>
  <si>
    <t xml:space="preserve">During the year </t>
  </si>
  <si>
    <t xml:space="preserve">Upto the year </t>
  </si>
  <si>
    <t>Directorate of Micro &amp; Small Scale Enterprises, Govt. of W.B.</t>
  </si>
  <si>
    <t>B.A.E.&amp; S., Govt. of  W.B.</t>
  </si>
  <si>
    <t>Nitrogen (N)</t>
  </si>
  <si>
    <t>Phosphate (P)</t>
  </si>
  <si>
    <t>Potash (K)</t>
  </si>
  <si>
    <t>Revenue collected from different sources</t>
  </si>
  <si>
    <t>TT(PW)</t>
  </si>
  <si>
    <t>DPT</t>
  </si>
  <si>
    <t>Polio</t>
  </si>
  <si>
    <t>BCG</t>
  </si>
  <si>
    <t>Measles</t>
  </si>
  <si>
    <t>Indoor</t>
  </si>
  <si>
    <t>Outdoor</t>
  </si>
  <si>
    <t>(a) D.I.(Primary+Junior Basic)</t>
  </si>
  <si>
    <t>(b) Municipalities / Corporations / Local bodies etc.</t>
  </si>
  <si>
    <t>(ii)</t>
  </si>
  <si>
    <t>(iii)</t>
  </si>
  <si>
    <t>(i)</t>
  </si>
  <si>
    <t>(iv)</t>
  </si>
  <si>
    <t>Source : District Census Handbook, 1961</t>
  </si>
  <si>
    <t>All other Commercial &amp; Vocational Institutions 
(Affiliated to W.B.State Council of Technical Education)</t>
  </si>
  <si>
    <t>GENERAL UNIVERSITIES (excluding completely 
Technical Universities)</t>
  </si>
  <si>
    <t>6) Addl. Executive, S.S.K.</t>
  </si>
  <si>
    <t>(c) I.C.S.E./ C.B.S.E./ Anglo-Indian &amp; Missionaries etc.</t>
  </si>
  <si>
    <t>AIC (including 
Pranibandhu &amp; 
Co-operatives)</t>
  </si>
  <si>
    <t>1) Dist. Social Welfare Officer, Purba Medinipur</t>
  </si>
  <si>
    <t>2) District Magistrate, Purba Medinipur</t>
  </si>
  <si>
    <t>1
2</t>
  </si>
  <si>
    <t>3
4</t>
  </si>
  <si>
    <t>6
7</t>
  </si>
  <si>
    <t>8
9
10</t>
  </si>
  <si>
    <t>11
12</t>
  </si>
  <si>
    <t>13
14</t>
  </si>
  <si>
    <t>15
16</t>
  </si>
  <si>
    <t>17
18</t>
  </si>
  <si>
    <t>19
20</t>
  </si>
  <si>
    <t>21
22</t>
  </si>
  <si>
    <t>Live-stock</t>
  </si>
  <si>
    <t>Poultry 
Birds</t>
  </si>
  <si>
    <t>Commodity</t>
  </si>
  <si>
    <t>Density of Population</t>
  </si>
  <si>
    <t>State Government Offices</t>
  </si>
  <si>
    <t>General College &amp; University 
(Excluding Open University)</t>
  </si>
  <si>
    <t>Registered Working Factories (C)</t>
  </si>
  <si>
    <t xml:space="preserve">      The present issue of the District Statistical Handbook seeks to provide statistical information on various socio-economic aspects of the district in a compact form. Attempts have been made to incorporate up-to-date information so that continuity of the time series of the data published in earlier issues is maintained. Data at the Block level have also been incorporated as far as available, so that those could be effectively used by planners, policymakers and researchers.
       I express my gratitude to the different offices situated in the district for active co-operation received from their end in timely supply of data. I like to put in my appreciation to the officials of the Handbook, Co-ordination and Nucleus (Compilation) units of the Head Office and  District  office of the Bureau of Applied Economics and Statistics for their sincere and sustained effort in bringing out the publication.
      Suggestions for any improvement of the publication will be highly appreciated. </t>
  </si>
  <si>
    <t>Directorate of Micro &amp; Small Scale Enterprise.,
Govt. of  W.B.</t>
  </si>
  <si>
    <t>5) Each Madrasah</t>
  </si>
  <si>
    <t>21º 36' 35" N</t>
  </si>
  <si>
    <t>88º 12' 40" E</t>
  </si>
  <si>
    <t>Chandipur (Nandigram-III)</t>
  </si>
  <si>
    <t>Deshapran (Contai-II)</t>
  </si>
  <si>
    <t>Kolaghat (Panskura-II)</t>
  </si>
  <si>
    <t>Engineering / Technical Schools</t>
  </si>
  <si>
    <t>(a) Junior Technical Schools</t>
  </si>
  <si>
    <t>(c) Industrial Training Institutes (ITI)</t>
  </si>
  <si>
    <t>All PTTI &amp; Nursing Training Institutes</t>
  </si>
  <si>
    <t>Upto the year 
(as on 31st March)</t>
  </si>
  <si>
    <t>(a) Pre-primary &amp; Primary Teachers' Training Institutes (PTTI)</t>
  </si>
  <si>
    <t>(b) Certificate oriented Nursing Training Schools</t>
  </si>
  <si>
    <t>Engineering / Medical / Technical Colleges</t>
  </si>
  <si>
    <t>2009-10</t>
  </si>
  <si>
    <t>2011-12</t>
  </si>
  <si>
    <t>(e) Institute of Pharmacy / Opthalmology</t>
  </si>
  <si>
    <t>Teachers' Training &amp; Nursing Training Colleges</t>
  </si>
  <si>
    <t>(b) Nursing Training Colleges (B.Sc.)</t>
  </si>
  <si>
    <t>(a) Law Colleges</t>
  </si>
  <si>
    <t>(b) Music Colleges</t>
  </si>
  <si>
    <t>(d) Art Colleges</t>
  </si>
  <si>
    <t>(e) Autonomous Research Institutions of Special Importance</t>
  </si>
  <si>
    <t>(c) Nutrition &amp; Home Science Colleges</t>
  </si>
  <si>
    <t>Sishu Siksha Kendras</t>
  </si>
  <si>
    <t>Rice :</t>
  </si>
  <si>
    <t>* In 1000 bales of 180 kgs each</t>
  </si>
  <si>
    <t>Live-stock and Poultry in the district of Medinipur(C)</t>
  </si>
  <si>
    <t>Primary Land Mortgage Bank :</t>
  </si>
  <si>
    <t>Agricultural Credit Societies :</t>
  </si>
  <si>
    <t>Non-Agricultural Credit Societies :</t>
  </si>
  <si>
    <t>Non- Credit Societies :</t>
  </si>
  <si>
    <t>Source : Dy. Director of Small Savings, Purba Medinipur</t>
  </si>
  <si>
    <t>Adult High Schools</t>
  </si>
  <si>
    <t>Ekalabya Schools</t>
  </si>
  <si>
    <t>Non-formal Education Centres</t>
  </si>
  <si>
    <t>Anganwadi (education) Centres under I.C.D.S.</t>
  </si>
  <si>
    <t>Social Welfare Homes under M.E.E.Deptt.</t>
  </si>
  <si>
    <t>1) District Panchayat Officer</t>
  </si>
  <si>
    <t>2) District Social Welfare Officer</t>
  </si>
  <si>
    <t>4) District Programme Officer (ICDS)</t>
  </si>
  <si>
    <t>Tamluk(M)</t>
  </si>
  <si>
    <t>-</t>
  </si>
  <si>
    <t>Kolaghat</t>
  </si>
  <si>
    <t>Sahid Matangini</t>
  </si>
  <si>
    <t>Panskura</t>
  </si>
  <si>
    <t>Panskura-I</t>
  </si>
  <si>
    <t>Panskura(M)</t>
  </si>
  <si>
    <t>Moyna</t>
  </si>
  <si>
    <t>Nandakumar</t>
  </si>
  <si>
    <t>Chandipur</t>
  </si>
  <si>
    <t>Mahishadal</t>
  </si>
  <si>
    <t>Nandigram</t>
  </si>
  <si>
    <t>Nandigram-I</t>
  </si>
  <si>
    <t>Nandigram-II</t>
  </si>
  <si>
    <t>Sutahata</t>
  </si>
  <si>
    <t>Durgachak</t>
  </si>
  <si>
    <t>Haldia</t>
  </si>
  <si>
    <t>Haldia(M)</t>
  </si>
  <si>
    <t>7/2</t>
  </si>
  <si>
    <t>5/1</t>
  </si>
  <si>
    <t>Egra</t>
  </si>
  <si>
    <t>' 000 Hectares</t>
  </si>
  <si>
    <t xml:space="preserve"> (Number)</t>
  </si>
  <si>
    <t>All Religions</t>
  </si>
  <si>
    <t>7) Heads of each centre of Rabindra Mukta Vidyalaya</t>
  </si>
  <si>
    <t>Bhagawanpur</t>
  </si>
  <si>
    <t>Public Water
 Works &amp;
 Sewerage Pump</t>
  </si>
  <si>
    <t xml:space="preserve"> Source : Collectorate (Election Deptt.), Purba  Medinipur</t>
  </si>
  <si>
    <t xml:space="preserve">Agricultural
 irrigation &amp; 
dewatering    </t>
  </si>
  <si>
    <t>Bhagawanpur-I</t>
  </si>
  <si>
    <t>Egra-I</t>
  </si>
  <si>
    <t>Egra-II</t>
  </si>
  <si>
    <t>Egra(M)</t>
  </si>
  <si>
    <t>Contai</t>
  </si>
  <si>
    <t>8/1</t>
  </si>
  <si>
    <t>Khejuri</t>
  </si>
  <si>
    <t>Khejuri-I</t>
  </si>
  <si>
    <t>Khejuri-II</t>
  </si>
  <si>
    <t>Bhupatinagar</t>
  </si>
  <si>
    <t>Bhagawanpur-II</t>
  </si>
  <si>
    <t>Ramnagar-I</t>
  </si>
  <si>
    <t>Digha</t>
  </si>
  <si>
    <t>Ramnagar-II</t>
  </si>
  <si>
    <t>Contai-I</t>
  </si>
  <si>
    <t>Contai(M)</t>
  </si>
  <si>
    <t>Marishda</t>
  </si>
  <si>
    <t>Contai-III</t>
  </si>
  <si>
    <t>25/5</t>
  </si>
  <si>
    <t>(20)</t>
  </si>
  <si>
    <t>(21)</t>
  </si>
  <si>
    <t>(22)</t>
  </si>
  <si>
    <t>Sl.No.</t>
  </si>
  <si>
    <t>Description</t>
  </si>
  <si>
    <t>Daily</t>
  </si>
  <si>
    <t>Weekly</t>
  </si>
  <si>
    <t>Fortnightly</t>
  </si>
  <si>
    <t>TABLE 1.1</t>
  </si>
  <si>
    <t>Monthly</t>
  </si>
  <si>
    <t>Bengali</t>
  </si>
  <si>
    <t>English</t>
  </si>
  <si>
    <t>Hindi</t>
  </si>
  <si>
    <t>Urdu</t>
  </si>
  <si>
    <t>Marginal</t>
  </si>
  <si>
    <t>Small</t>
  </si>
  <si>
    <t>Semi-medium</t>
  </si>
  <si>
    <t>Medium</t>
  </si>
  <si>
    <t>Large</t>
  </si>
  <si>
    <t>S   I   Z   E    -    C   L   A   S   S</t>
  </si>
  <si>
    <t>Bureau  of  Applied  Economics  &amp;  Statistics</t>
  </si>
  <si>
    <t>Government  of  West Bengal</t>
  </si>
  <si>
    <t>2007*</t>
  </si>
  <si>
    <t>(b) Junior Madrasahs</t>
  </si>
  <si>
    <t>(b) High Madrasahs</t>
  </si>
  <si>
    <t>(e) Senior Madrasahs</t>
  </si>
  <si>
    <t>Source : Directorate of Agriculture (Evaluation), Govt. of W.B.</t>
  </si>
  <si>
    <t>Source : Land &amp; Land Reforms Deptt., Govt. of  W.B.</t>
  </si>
  <si>
    <t>2) B.A.E.&amp; S., Govt. of  W.B.</t>
  </si>
  <si>
    <t>2) Irrigation and Waterways Directorate, Govt. of  W.B.</t>
  </si>
  <si>
    <t>Price as on February (in Rs.)</t>
  </si>
  <si>
    <t xml:space="preserve">  Superintendent</t>
  </si>
  <si>
    <t xml:space="preserve"> Addl.Superintendent</t>
  </si>
  <si>
    <t xml:space="preserve"> Dy.Superintendent</t>
  </si>
  <si>
    <t xml:space="preserve">  S.D.P.O.</t>
  </si>
  <si>
    <t xml:space="preserve">  Inspector</t>
  </si>
  <si>
    <t xml:space="preserve"> Sub-Inspector</t>
  </si>
  <si>
    <t xml:space="preserve">  Sergeant/Armed S.I</t>
  </si>
  <si>
    <t xml:space="preserve"> J.C.O.</t>
  </si>
  <si>
    <t xml:space="preserve">  Asstt. Sergeant / A.S.I.</t>
  </si>
  <si>
    <t xml:space="preserve"> Armed A.S.I. </t>
  </si>
  <si>
    <t xml:space="preserve"> Naik</t>
  </si>
  <si>
    <t xml:space="preserve"> Constable / Driver</t>
  </si>
  <si>
    <t>Motor car
 &amp; Jeep</t>
  </si>
  <si>
    <t>Note : Census 1981 was conducted Police Station wise</t>
  </si>
  <si>
    <t>* In thousand bales of 180 kgs. each</t>
  </si>
  <si>
    <t>Assistance 
to needy 
fishermen
(' 000 Rs.)</t>
  </si>
  <si>
    <t>Receipt</t>
  </si>
  <si>
    <t>Out-posts</t>
  </si>
  <si>
    <t>Police Stations</t>
  </si>
  <si>
    <t>Haldia
Bhawanipur</t>
  </si>
  <si>
    <t>Loans due from
 individuals &amp; 
other societies 
(Rs.in thousand)</t>
  </si>
  <si>
    <t>Loans repayment
 by individuals &amp;
 other societies 
(Rs.in thousand)</t>
  </si>
  <si>
    <t>(Area in hectare)</t>
  </si>
  <si>
    <t xml:space="preserve">Note : </t>
  </si>
  <si>
    <t>Below 1.0 hectare</t>
  </si>
  <si>
    <t>10.0 hectares and above. It includes mostly institutional holdings</t>
  </si>
  <si>
    <t xml:space="preserve">Foodgrains : </t>
  </si>
  <si>
    <t>1.</t>
  </si>
  <si>
    <t>2.</t>
  </si>
  <si>
    <t>3.</t>
  </si>
  <si>
    <t>4.</t>
  </si>
  <si>
    <t>5.</t>
  </si>
  <si>
    <t>6.</t>
  </si>
  <si>
    <t>7.</t>
  </si>
  <si>
    <t>8.</t>
  </si>
  <si>
    <t>Crops</t>
  </si>
  <si>
    <t>Rice</t>
  </si>
  <si>
    <t>Aus</t>
  </si>
  <si>
    <t>Aman</t>
  </si>
  <si>
    <t>Boro</t>
  </si>
  <si>
    <t>Wheat</t>
  </si>
  <si>
    <t>Barley</t>
  </si>
  <si>
    <t>Maize</t>
  </si>
  <si>
    <t>Other Cereals</t>
  </si>
  <si>
    <t>Total Cereals</t>
  </si>
  <si>
    <t>(b) Vocational Stream (Including independent H.S.School)</t>
  </si>
  <si>
    <t>(a) General Stream (Including independent H.S.School)</t>
  </si>
  <si>
    <t>GENERAL UNIVERSITIES (excluding
 completely Technical Universities)</t>
  </si>
  <si>
    <t>Tur</t>
  </si>
  <si>
    <t>Other Pulses</t>
  </si>
  <si>
    <t>Total Pulses</t>
  </si>
  <si>
    <t>Total Foodgrains</t>
  </si>
  <si>
    <t>Other Oil seeds</t>
  </si>
  <si>
    <t>Total Oil seeds</t>
  </si>
  <si>
    <t>Jute</t>
  </si>
  <si>
    <t>Mesta</t>
  </si>
  <si>
    <t>Sugarcane</t>
  </si>
  <si>
    <t>Potato</t>
  </si>
  <si>
    <t>Tobacco</t>
  </si>
  <si>
    <t>Tea</t>
  </si>
  <si>
    <t>Chillies (dry)</t>
  </si>
  <si>
    <t>Ginger</t>
  </si>
  <si>
    <t>Total Miscellaneous crops</t>
  </si>
  <si>
    <t>Sources :</t>
  </si>
  <si>
    <t>2) B.A.E.&amp; S., Govt. of W.B.</t>
  </si>
  <si>
    <t>Upto</t>
  </si>
  <si>
    <t>Area of land distributed (hectare)</t>
  </si>
  <si>
    <t>Number of beneficiaries</t>
  </si>
  <si>
    <t>(Kilogram per hectare)</t>
  </si>
  <si>
    <t>District</t>
  </si>
  <si>
    <t>West Bengal</t>
  </si>
  <si>
    <t>Name of Fruits / Vegetables</t>
  </si>
  <si>
    <t>Area (Thousand hectares)</t>
  </si>
  <si>
    <t>Mango</t>
  </si>
  <si>
    <t>Banana</t>
  </si>
  <si>
    <t>Pineapple</t>
  </si>
  <si>
    <t>Papaya</t>
  </si>
  <si>
    <t>Guava</t>
  </si>
  <si>
    <t>Jackfruit</t>
  </si>
  <si>
    <t>Litchi</t>
  </si>
  <si>
    <t>Mandarin Orange</t>
  </si>
  <si>
    <t>Other Citrus</t>
  </si>
  <si>
    <t>Sapota</t>
  </si>
  <si>
    <t>B.</t>
  </si>
  <si>
    <t>Tomato</t>
  </si>
  <si>
    <t>Cabbage</t>
  </si>
  <si>
    <t>Cauliflower</t>
  </si>
  <si>
    <t>Peas</t>
  </si>
  <si>
    <t>Brinjal</t>
  </si>
  <si>
    <t>Onion</t>
  </si>
  <si>
    <t>Cucurbits</t>
  </si>
  <si>
    <t>Ladies Finger</t>
  </si>
  <si>
    <t>Radish</t>
  </si>
  <si>
    <t xml:space="preserve"> 1) D.L. &amp; L.R.O., Purba Medinipur</t>
  </si>
  <si>
    <t xml:space="preserve"> 2) All B.D.O.s, Purba Medinipur</t>
  </si>
  <si>
    <t>Source :</t>
  </si>
  <si>
    <t>3) Tea Board</t>
  </si>
  <si>
    <t>Production (Thousand tonnes)</t>
  </si>
  <si>
    <t>Production</t>
  </si>
  <si>
    <t>Rose</t>
  </si>
  <si>
    <t>Chrysanthemum</t>
  </si>
  <si>
    <t>Gladiolus</t>
  </si>
  <si>
    <t>Tuberose</t>
  </si>
  <si>
    <t>Marigold</t>
  </si>
  <si>
    <t>Jasmine</t>
  </si>
  <si>
    <t>Seasonal Flower</t>
  </si>
  <si>
    <t xml:space="preserve">Kolaghat </t>
  </si>
  <si>
    <t xml:space="preserve">Chandipur </t>
  </si>
  <si>
    <t xml:space="preserve">Deshapran </t>
  </si>
  <si>
    <t>Haldia Sub- Div.</t>
  </si>
  <si>
    <t>Contai Sub- Div.</t>
  </si>
  <si>
    <t>Block
 Primary
 Health
 Centres</t>
  </si>
  <si>
    <t xml:space="preserve"> Total
 Number 
of
 Beds</t>
  </si>
  <si>
    <t xml:space="preserve"> Total 
Number 
of 
Doctors</t>
  </si>
  <si>
    <t>No.of persons 
taken loan</t>
  </si>
  <si>
    <t>Number of Small scale industrial units registered with the Directorate of Cottage and Small Scale Industries with corresponding employment 
in the district of  Medinipur (C)</t>
  </si>
  <si>
    <t>Base : 2001=100</t>
  </si>
  <si>
    <t>Employment in State Govt Offices 
(As on 31st December)</t>
  </si>
  <si>
    <t>TABLE 9.2(a)</t>
  </si>
  <si>
    <t>Auto Rick-
shaw</t>
  </si>
  <si>
    <t>Mini 
Bus</t>
  </si>
  <si>
    <t xml:space="preserve"> Til</t>
  </si>
  <si>
    <t xml:space="preserve">Centre : Haldia </t>
  </si>
  <si>
    <t>3.3(a)</t>
  </si>
  <si>
    <t>Department of Statistics &amp; Programme Implementation</t>
  </si>
  <si>
    <t>Chief Inspector of Factories, Govt. of W.B.</t>
  </si>
  <si>
    <t xml:space="preserve">Municipalities </t>
  </si>
  <si>
    <t>Misc.Flower</t>
  </si>
  <si>
    <t>Item</t>
  </si>
  <si>
    <t>Reserved forest</t>
  </si>
  <si>
    <t>Protected forest</t>
  </si>
  <si>
    <t>Unclassed state forest</t>
  </si>
  <si>
    <t>Total Fibres</t>
  </si>
  <si>
    <t>Other Fibres</t>
  </si>
  <si>
    <t>Oil Seeds :</t>
  </si>
  <si>
    <t>Miscellaneous crops :</t>
  </si>
  <si>
    <t>Vegetables :</t>
  </si>
  <si>
    <t>Panskura-I
Kolaghat
(Panskura-II)</t>
  </si>
  <si>
    <t>Nandigram-I
Nandigram-II
Chandipur
(Nandigram-III)</t>
  </si>
  <si>
    <t>Fruits :</t>
  </si>
  <si>
    <t>Khas forest</t>
  </si>
  <si>
    <t>Forest owned by private individuals</t>
  </si>
  <si>
    <t>Forest owned by corporate bodies</t>
  </si>
  <si>
    <t>Forest Produce</t>
  </si>
  <si>
    <t>Recognized Sanskrit Tols</t>
  </si>
  <si>
    <t xml:space="preserve">Timber </t>
  </si>
  <si>
    <t>Fuel</t>
  </si>
  <si>
    <t>Pole</t>
  </si>
  <si>
    <t>Revenue &amp; Expenditure</t>
  </si>
  <si>
    <t>Revenue</t>
  </si>
  <si>
    <t>Expenditure</t>
  </si>
  <si>
    <t>Tank</t>
  </si>
  <si>
    <t>HDTW</t>
  </si>
  <si>
    <t>MDTW</t>
  </si>
  <si>
    <t>LDTW</t>
  </si>
  <si>
    <t>STW</t>
  </si>
  <si>
    <t>RLI</t>
  </si>
  <si>
    <t>ODW</t>
  </si>
  <si>
    <t>(b)certificate Oriented NursingTraning School</t>
  </si>
  <si>
    <t>Area irrigated by</t>
  </si>
  <si>
    <t>Govt.Canal</t>
  </si>
  <si>
    <t xml:space="preserve">MDTW = </t>
  </si>
  <si>
    <t xml:space="preserve">LDTW = </t>
  </si>
  <si>
    <t xml:space="preserve">STW = </t>
  </si>
  <si>
    <t xml:space="preserve">RLI = </t>
  </si>
  <si>
    <t>ODW =</t>
  </si>
  <si>
    <t>Other Colleges / Institutions</t>
  </si>
  <si>
    <t>District Total- 4</t>
  </si>
  <si>
    <t>Miscella-
neous</t>
  </si>
  <si>
    <t>Ramnagar (P)</t>
  </si>
  <si>
    <t>10</t>
  </si>
  <si>
    <t>11</t>
  </si>
  <si>
    <t>As on</t>
  </si>
  <si>
    <t>31.10. 2010</t>
  </si>
  <si>
    <t>30.11. 2011</t>
  </si>
  <si>
    <t>30.11. 2012</t>
  </si>
  <si>
    <t>Registered Working Factories (C) (Daily Average)</t>
  </si>
  <si>
    <t>2013-14</t>
  </si>
  <si>
    <t>Note : Under the schemes IGNOAPS (Indira Gandhi National Old Age Pension Scheme), IGNWPS (Indira Gandhi National Widow Pension Scheme) &amp; IGNDPS (Indira Gandhi National Disability Pension Scheme)</t>
  </si>
  <si>
    <t>Lotus</t>
  </si>
  <si>
    <t xml:space="preserve"> Source : District Agricultural Marketing Officer
 (Administrative), Tamluk, Purba Medinipur</t>
  </si>
  <si>
    <t>Literacy Rate by sex in rural and urban areas</t>
  </si>
  <si>
    <t>Educational Institution :</t>
  </si>
  <si>
    <t>Max</t>
  </si>
  <si>
    <t>Min</t>
  </si>
  <si>
    <t>Visual</t>
  </si>
  <si>
    <t>Speech</t>
  </si>
  <si>
    <t>Hearing</t>
  </si>
  <si>
    <t>Locomotor</t>
  </si>
  <si>
    <t>(Per cent)</t>
  </si>
  <si>
    <t>(Commercial &amp; Gramin)*
 (No.in '000)</t>
  </si>
  <si>
    <t>* As per Census 2011 Population</t>
  </si>
  <si>
    <t>Disabled assistance</t>
  </si>
  <si>
    <t>Contai &amp; 
Contai Women</t>
  </si>
  <si>
    <t>Talpatighat Coastal^</t>
  </si>
  <si>
    <t>Patulighat (Junput)^</t>
  </si>
  <si>
    <t>^ Newly established in 2014</t>
  </si>
  <si>
    <t>1675.80 (R)</t>
  </si>
  <si>
    <t>Veterinary
 personnel</t>
  </si>
  <si>
    <t>156.17 (R)</t>
  </si>
  <si>
    <t>* No. of Nursing home decreased due to non-renewal</t>
  </si>
  <si>
    <t>Patta
 holders</t>
  </si>
  <si>
    <t>Small
 farmers*</t>
  </si>
  <si>
    <t>Marginal
 farmers*</t>
  </si>
  <si>
    <t>No. of 
Co-operative
 Societies</t>
  </si>
  <si>
    <t>Working
 Capital
    ('000 Rs.)</t>
  </si>
  <si>
    <t>Total deliveries
 performed*</t>
  </si>
  <si>
    <t>Nursing Home</t>
  </si>
  <si>
    <t>1000 Nos.</t>
  </si>
  <si>
    <t>Kg.</t>
  </si>
  <si>
    <t>Note : Number of Cinema houses &amp; sitting capacity upto 2012-13 relate to all cinema houses including closed.  Figures for
 2013-14 relate to open houses  only.</t>
  </si>
  <si>
    <t>2012-13 (R)</t>
  </si>
  <si>
    <t>Cases
 treated</t>
  </si>
  <si>
    <t>51388 (P)</t>
  </si>
  <si>
    <t>477 (P)</t>
  </si>
  <si>
    <t xml:space="preserve">Employment in 
State Government  Offices
(As on 31st January) </t>
  </si>
  <si>
    <t xml:space="preserve">West Bengal </t>
  </si>
  <si>
    <t>435 (P)</t>
  </si>
  <si>
    <t>477138 (P)</t>
  </si>
  <si>
    <t>31.12 2014</t>
  </si>
  <si>
    <t>16.12 2013</t>
  </si>
  <si>
    <t>Selected Characteristics of Factories by industry group in the district of  Purba Medinipur for the year 2011-12</t>
  </si>
  <si>
    <t>82</t>
  </si>
  <si>
    <t>(a) D.I.(Secondary) *</t>
  </si>
  <si>
    <t>(a) General Stream (Including independent H.S.School) *</t>
  </si>
  <si>
    <t>* Figures are revised from 2009-10 to 2012-13</t>
  </si>
  <si>
    <t xml:space="preserve">2009-10 </t>
  </si>
  <si>
    <t xml:space="preserve">2012-13 </t>
  </si>
  <si>
    <t>1918(R)</t>
  </si>
  <si>
    <t>Average population per office* (in thousand)</t>
  </si>
  <si>
    <r>
      <t>20</t>
    </r>
    <r>
      <rPr>
        <vertAlign val="superscript"/>
        <sz val="10"/>
        <rFont val="Arial"/>
        <family val="2"/>
      </rPr>
      <t>#</t>
    </r>
  </si>
  <si>
    <t>Source : Economic Census, 2005 &amp; 2013</t>
  </si>
  <si>
    <t>I. LOCATION, RAINFALL AND CLIMATE (4 Tables)</t>
  </si>
  <si>
    <t>II. AREA AND POPULATION (16 Tables)</t>
  </si>
  <si>
    <t>III. PUBLIC HEALTH (5 Tables)</t>
  </si>
  <si>
    <t>IV. EDUCATION AND CULTURE (14 Tables)</t>
  </si>
  <si>
    <t>V. AGRICULTURE &amp; ALLIED SECTORS (16 Tables)</t>
  </si>
  <si>
    <t>VI. LIVE-STOCK (2 Tables)</t>
  </si>
  <si>
    <t>VII. CO-OPERATIVE, BANKING &amp; INSURANCE (3 Tables)</t>
  </si>
  <si>
    <t>VIII. INDUSTRY (5 Tables)</t>
  </si>
  <si>
    <t>IX. EMPLOYMENT AND LABOUR (4 Tables)</t>
  </si>
  <si>
    <t>X. EMPLOYMENT EXCHANGE AND SOCIAL SERVICE (3 Tables)</t>
  </si>
  <si>
    <t>XI. PRICE (5 Tables)</t>
  </si>
  <si>
    <t>XII. TRANSPORT AND COMMUNICATION (7 Tables)</t>
  </si>
  <si>
    <t>XIII. JUDICIAL AND POLICE (3 Tables)</t>
  </si>
  <si>
    <t>XIV. LOCAL-BODIES (2 Tables)</t>
  </si>
  <si>
    <t>XV. FINANCE (2 Tables)</t>
  </si>
  <si>
    <t>BLOCK LEVEL STATISTICS (11 Tables)</t>
  </si>
  <si>
    <t>Literates : Male</t>
  </si>
  <si>
    <t xml:space="preserve">                Female</t>
  </si>
  <si>
    <t xml:space="preserve">                Total</t>
  </si>
  <si>
    <t>Total Revenue Receipt</t>
  </si>
  <si>
    <t>Surfaced Road</t>
  </si>
  <si>
    <t>Unsurfaced Road</t>
  </si>
  <si>
    <t>CC : Conventional Contraceptive</t>
  </si>
  <si>
    <t>OP : Oral Pill</t>
  </si>
  <si>
    <t>MTP : Medical Termination of Pregnancy</t>
  </si>
  <si>
    <t>Combined</t>
  </si>
  <si>
    <t>1) Dy. C.M.O.H. - II, Purba Medinipur</t>
  </si>
  <si>
    <t>2) Super / Director of the respective 
(L.S.G./ Private) Hospitals</t>
  </si>
  <si>
    <t>Dy. C.M.O.H. - III, Purba Medinipur</t>
  </si>
  <si>
    <t>2012*</t>
  </si>
  <si>
    <t>* = Non-functioning</t>
  </si>
  <si>
    <t xml:space="preserve"> All Block Development Offices, Purba Medinipur</t>
  </si>
  <si>
    <t xml:space="preserve"> R.T.A, Tamluk, Purba Medinipur</t>
  </si>
  <si>
    <t>Source : Asstt. Registrar of Co-operative Societies,
                Tamluk &amp; Contai Range, Purba Medinipur</t>
  </si>
  <si>
    <t>Office administrative, office support and other business support activities</t>
  </si>
  <si>
    <t>TABLE 8.3 (Concld.)</t>
  </si>
  <si>
    <t>9185(R)</t>
  </si>
  <si>
    <t>8198(R)</t>
  </si>
  <si>
    <t>15884(R)</t>
  </si>
  <si>
    <t>* Colleges are running by guest teacher</t>
  </si>
  <si>
    <r>
      <t>1) Exe</t>
    </r>
    <r>
      <rPr>
        <b/>
        <sz val="9"/>
        <color indexed="17"/>
        <rFont val="Arial"/>
        <family val="2"/>
      </rPr>
      <t>.</t>
    </r>
    <r>
      <rPr>
        <sz val="9"/>
        <color indexed="17"/>
        <rFont val="Arial"/>
        <family val="2"/>
      </rPr>
      <t xml:space="preserve"> Officer, Digha Sankarpur Dev</t>
    </r>
    <r>
      <rPr>
        <b/>
        <sz val="9"/>
        <color indexed="17"/>
        <rFont val="Arial"/>
        <family val="2"/>
      </rPr>
      <t>.</t>
    </r>
    <r>
      <rPr>
        <sz val="9"/>
        <color indexed="17"/>
        <rFont val="Arial"/>
        <family val="2"/>
      </rPr>
      <t xml:space="preserve"> Authority</t>
    </r>
  </si>
  <si>
    <t>Year ( as on
 31st March)</t>
  </si>
  <si>
    <t>Exe. Engr., Zilla Parishad, Purba Medinipur</t>
  </si>
  <si>
    <t>30.09.2010</t>
  </si>
  <si>
    <t>30.09.2011</t>
  </si>
  <si>
    <t>30.09.2012</t>
  </si>
  <si>
    <t xml:space="preserve">30.06.2013 </t>
  </si>
  <si>
    <t>31.03.2014</t>
  </si>
  <si>
    <t>P.W.(Roads) Directorate(HQ), Govt. of W.B.</t>
  </si>
  <si>
    <t>Source : P.W.(Roads) Directorate (HQ), Govt. of W.B.</t>
  </si>
  <si>
    <t>11th July, 2014</t>
  </si>
</sst>
</file>

<file path=xl/styles.xml><?xml version="1.0" encoding="utf-8"?>
<styleSheet xmlns="http://schemas.openxmlformats.org/spreadsheetml/2006/main">
  <numFmts count="4">
    <numFmt numFmtId="164" formatCode="0.0"/>
    <numFmt numFmtId="165" formatCode="0.000"/>
    <numFmt numFmtId="166" formatCode="0.0000"/>
    <numFmt numFmtId="167" formatCode="d\-mmm\-yyyy"/>
  </numFmts>
  <fonts count="158">
    <font>
      <sz val="10"/>
      <name val="Arial"/>
    </font>
    <font>
      <sz val="10"/>
      <name val="Arial"/>
      <family val="2"/>
    </font>
    <font>
      <sz val="12"/>
      <name val="Arial"/>
      <family val="2"/>
    </font>
    <font>
      <b/>
      <sz val="10"/>
      <name val="Arial"/>
      <family val="2"/>
    </font>
    <font>
      <sz val="10"/>
      <name val="Arial"/>
      <family val="2"/>
    </font>
    <font>
      <u/>
      <sz val="10"/>
      <color indexed="12"/>
      <name val="Arial"/>
      <family val="2"/>
    </font>
    <font>
      <b/>
      <sz val="10"/>
      <name val="Arial Narrow"/>
      <family val="2"/>
    </font>
    <font>
      <sz val="10"/>
      <name val="Arial Narrow"/>
      <family val="2"/>
    </font>
    <font>
      <sz val="9"/>
      <name val="Arial Narrow"/>
      <family val="2"/>
    </font>
    <font>
      <sz val="9"/>
      <name val="Arial"/>
      <family val="2"/>
    </font>
    <font>
      <b/>
      <u/>
      <sz val="10"/>
      <name val="Arial"/>
      <family val="2"/>
    </font>
    <font>
      <b/>
      <sz val="10"/>
      <color indexed="53"/>
      <name val="Arial"/>
      <family val="2"/>
    </font>
    <font>
      <b/>
      <sz val="10"/>
      <color indexed="17"/>
      <name val="Arial"/>
      <family val="2"/>
    </font>
    <font>
      <sz val="10"/>
      <color indexed="10"/>
      <name val="Arial"/>
      <family val="2"/>
    </font>
    <font>
      <sz val="10"/>
      <color indexed="14"/>
      <name val="Arial"/>
      <family val="2"/>
    </font>
    <font>
      <sz val="10"/>
      <color indexed="17"/>
      <name val="Arial"/>
      <family val="2"/>
    </font>
    <font>
      <sz val="10"/>
      <color indexed="53"/>
      <name val="Arial"/>
      <family val="2"/>
    </font>
    <font>
      <sz val="10"/>
      <color indexed="48"/>
      <name val="Arial"/>
      <family val="2"/>
    </font>
    <font>
      <sz val="10"/>
      <color indexed="57"/>
      <name val="Arial"/>
      <family val="2"/>
    </font>
    <font>
      <b/>
      <sz val="10"/>
      <color indexed="62"/>
      <name val="Arial"/>
      <family val="2"/>
    </font>
    <font>
      <sz val="10"/>
      <color indexed="60"/>
      <name val="Arial"/>
      <family val="2"/>
    </font>
    <font>
      <sz val="10"/>
      <color indexed="12"/>
      <name val="Arial"/>
      <family val="2"/>
    </font>
    <font>
      <sz val="10"/>
      <color indexed="61"/>
      <name val="Arial"/>
      <family val="2"/>
    </font>
    <font>
      <sz val="10"/>
      <color indexed="46"/>
      <name val="Arial"/>
      <family val="2"/>
    </font>
    <font>
      <b/>
      <sz val="10"/>
      <color indexed="60"/>
      <name val="Arial"/>
      <family val="2"/>
    </font>
    <font>
      <b/>
      <sz val="10"/>
      <color indexed="60"/>
      <name val="Arial Narrow"/>
      <family val="2"/>
    </font>
    <font>
      <b/>
      <sz val="10"/>
      <color indexed="57"/>
      <name val="Arial"/>
      <family val="2"/>
    </font>
    <font>
      <b/>
      <sz val="10"/>
      <color indexed="10"/>
      <name val="Arial"/>
      <family val="2"/>
    </font>
    <font>
      <b/>
      <sz val="10"/>
      <color indexed="14"/>
      <name val="Arial"/>
      <family val="2"/>
    </font>
    <font>
      <b/>
      <sz val="9"/>
      <color indexed="60"/>
      <name val="Arial"/>
      <family val="2"/>
    </font>
    <font>
      <sz val="10"/>
      <color indexed="46"/>
      <name val="Arial Narrow"/>
      <family val="2"/>
    </font>
    <font>
      <sz val="10"/>
      <color indexed="57"/>
      <name val="Arial Narrow"/>
      <family val="2"/>
    </font>
    <font>
      <sz val="18"/>
      <color indexed="53"/>
      <name val="Times New Roman"/>
      <family val="1"/>
    </font>
    <font>
      <sz val="12"/>
      <color indexed="17"/>
      <name val="Times New Roman"/>
      <family val="1"/>
    </font>
    <font>
      <b/>
      <u/>
      <sz val="14"/>
      <color indexed="61"/>
      <name val="Arial"/>
      <family val="2"/>
    </font>
    <font>
      <sz val="10"/>
      <color indexed="45"/>
      <name val="Arial"/>
      <family val="2"/>
    </font>
    <font>
      <sz val="10"/>
      <color indexed="50"/>
      <name val="Arial"/>
      <family val="2"/>
    </font>
    <font>
      <sz val="10"/>
      <color indexed="10"/>
      <name val="Arial Narrow"/>
      <family val="2"/>
    </font>
    <font>
      <sz val="10"/>
      <color indexed="57"/>
      <name val="Arial"/>
      <family val="2"/>
    </font>
    <font>
      <b/>
      <sz val="9"/>
      <color indexed="60"/>
      <name val="Arial Narrow"/>
      <family val="2"/>
    </font>
    <font>
      <b/>
      <sz val="9"/>
      <color indexed="60"/>
      <name val="Arial"/>
      <family val="2"/>
    </font>
    <font>
      <sz val="10"/>
      <color indexed="45"/>
      <name val="Arial Narrow"/>
      <family val="2"/>
    </font>
    <font>
      <sz val="10"/>
      <color indexed="61"/>
      <name val="Arial"/>
      <family val="2"/>
    </font>
    <font>
      <sz val="9"/>
      <color indexed="61"/>
      <name val="Arial Narrow"/>
      <family val="2"/>
    </font>
    <font>
      <b/>
      <sz val="10"/>
      <color indexed="18"/>
      <name val="Arial"/>
      <family val="2"/>
    </font>
    <font>
      <sz val="10"/>
      <color indexed="19"/>
      <name val="Arial"/>
      <family val="2"/>
    </font>
    <font>
      <sz val="10"/>
      <color indexed="19"/>
      <name val="Arial Narrow"/>
      <family val="2"/>
    </font>
    <font>
      <sz val="9"/>
      <color indexed="19"/>
      <name val="Arial"/>
      <family val="2"/>
    </font>
    <font>
      <b/>
      <sz val="10"/>
      <color indexed="19"/>
      <name val="Arial"/>
      <family val="2"/>
    </font>
    <font>
      <sz val="10"/>
      <color indexed="16"/>
      <name val="Arial"/>
      <family val="2"/>
    </font>
    <font>
      <sz val="9"/>
      <color indexed="57"/>
      <name val="Arial"/>
      <family val="2"/>
    </font>
    <font>
      <sz val="10"/>
      <color indexed="46"/>
      <name val="Arial"/>
      <family val="2"/>
    </font>
    <font>
      <sz val="10"/>
      <color indexed="53"/>
      <name val="Arial"/>
      <family val="2"/>
    </font>
    <font>
      <b/>
      <u/>
      <sz val="10"/>
      <color indexed="53"/>
      <name val="Arial"/>
      <family val="2"/>
    </font>
    <font>
      <sz val="10"/>
      <color indexed="18"/>
      <name val="Arial"/>
      <family val="2"/>
    </font>
    <font>
      <sz val="9"/>
      <color indexed="12"/>
      <name val="Arial"/>
      <family val="2"/>
    </font>
    <font>
      <sz val="10"/>
      <color indexed="18"/>
      <name val="Arial"/>
      <family val="2"/>
    </font>
    <font>
      <sz val="9"/>
      <color indexed="17"/>
      <name val="Arial"/>
      <family val="2"/>
    </font>
    <font>
      <sz val="10"/>
      <color indexed="17"/>
      <name val="Arial Narrow"/>
      <family val="2"/>
    </font>
    <font>
      <b/>
      <sz val="36"/>
      <color indexed="10"/>
      <name val="Arial"/>
      <family val="2"/>
    </font>
    <font>
      <b/>
      <sz val="28"/>
      <color indexed="60"/>
      <name val="Arial"/>
      <family val="2"/>
    </font>
    <font>
      <b/>
      <u/>
      <sz val="26"/>
      <color indexed="17"/>
      <name val="Monotype Corsiva"/>
      <family val="4"/>
    </font>
    <font>
      <b/>
      <u/>
      <sz val="20"/>
      <color indexed="17"/>
      <name val="Arial"/>
      <family val="2"/>
    </font>
    <font>
      <sz val="14"/>
      <color indexed="20"/>
      <name val="Monotype Corsiva"/>
      <family val="4"/>
    </font>
    <font>
      <sz val="10"/>
      <color indexed="20"/>
      <name val="Arial"/>
      <family val="2"/>
    </font>
    <font>
      <sz val="10"/>
      <color indexed="17"/>
      <name val="Times New Roman"/>
      <family val="1"/>
    </font>
    <font>
      <sz val="10"/>
      <color indexed="20"/>
      <name val="Arial"/>
      <family val="2"/>
    </font>
    <font>
      <b/>
      <sz val="13"/>
      <color indexed="62"/>
      <name val="Times New Roman"/>
      <family val="1"/>
    </font>
    <font>
      <sz val="10"/>
      <name val="Franklin Gothic Medium"/>
      <family val="2"/>
    </font>
    <font>
      <b/>
      <sz val="10"/>
      <color indexed="60"/>
      <name val="Arial"/>
      <family val="2"/>
    </font>
    <font>
      <sz val="13"/>
      <color indexed="62"/>
      <name val="Times New Roman"/>
      <family val="1"/>
    </font>
    <font>
      <sz val="10"/>
      <color indexed="62"/>
      <name val="Arial"/>
      <family val="2"/>
    </font>
    <font>
      <sz val="10"/>
      <color indexed="8"/>
      <name val="Arial"/>
      <family val="2"/>
    </font>
    <font>
      <b/>
      <sz val="10"/>
      <color indexed="20"/>
      <name val="Arial"/>
      <family val="2"/>
    </font>
    <font>
      <b/>
      <sz val="12"/>
      <name val="Arial"/>
      <family val="2"/>
    </font>
    <font>
      <b/>
      <sz val="10"/>
      <color indexed="48"/>
      <name val="Arial"/>
      <family val="2"/>
    </font>
    <font>
      <b/>
      <sz val="80"/>
      <color indexed="17"/>
      <name val="Times New Roman TUR"/>
      <family val="1"/>
      <charset val="162"/>
    </font>
    <font>
      <b/>
      <sz val="10"/>
      <color indexed="12"/>
      <name val="Arial"/>
      <family val="2"/>
    </font>
    <font>
      <b/>
      <sz val="9"/>
      <color indexed="14"/>
      <name val="Arial"/>
      <family val="2"/>
    </font>
    <font>
      <sz val="9"/>
      <color indexed="60"/>
      <name val="Arial"/>
      <family val="2"/>
    </font>
    <font>
      <sz val="9"/>
      <color indexed="10"/>
      <name val="Arial"/>
      <family val="2"/>
    </font>
    <font>
      <b/>
      <sz val="13"/>
      <color indexed="14"/>
      <name val="Times New Roman"/>
      <family val="1"/>
    </font>
    <font>
      <sz val="8"/>
      <name val="Arial"/>
      <family val="2"/>
    </font>
    <font>
      <sz val="10"/>
      <color indexed="16"/>
      <name val="Arial Narrow"/>
      <family val="2"/>
    </font>
    <font>
      <sz val="24"/>
      <name val="Arial"/>
      <family val="2"/>
    </font>
    <font>
      <sz val="10"/>
      <name val="Arial"/>
      <family val="2"/>
    </font>
    <font>
      <sz val="10"/>
      <color indexed="9"/>
      <name val="Arial"/>
      <family val="2"/>
    </font>
    <font>
      <i/>
      <sz val="10"/>
      <name val="Arial"/>
      <family val="2"/>
    </font>
    <font>
      <b/>
      <sz val="11"/>
      <color indexed="57"/>
      <name val="Arial"/>
      <family val="2"/>
    </font>
    <font>
      <b/>
      <sz val="10"/>
      <color indexed="21"/>
      <name val="Arial"/>
      <family val="2"/>
    </font>
    <font>
      <sz val="10"/>
      <color indexed="52"/>
      <name val="Arial"/>
      <family val="2"/>
    </font>
    <font>
      <sz val="10"/>
      <color indexed="8"/>
      <name val="Arial"/>
      <family val="2"/>
    </font>
    <font>
      <sz val="10"/>
      <color indexed="10"/>
      <name val="Arial"/>
      <family val="2"/>
    </font>
    <font>
      <b/>
      <sz val="13"/>
      <color indexed="12"/>
      <name val="Times New Roman"/>
      <family val="1"/>
    </font>
    <font>
      <b/>
      <sz val="9"/>
      <color indexed="17"/>
      <name val="Arial"/>
      <family val="2"/>
    </font>
    <font>
      <sz val="9"/>
      <color indexed="49"/>
      <name val="Arial"/>
      <family val="2"/>
    </font>
    <font>
      <sz val="9"/>
      <color indexed="20"/>
      <name val="Arial"/>
      <family val="2"/>
    </font>
    <font>
      <sz val="9"/>
      <name val="Arial"/>
      <family val="2"/>
    </font>
    <font>
      <sz val="9"/>
      <color indexed="17"/>
      <name val="Arial"/>
      <family val="2"/>
    </font>
    <font>
      <sz val="9"/>
      <color indexed="57"/>
      <name val="Arial"/>
      <family val="2"/>
    </font>
    <font>
      <sz val="14"/>
      <color indexed="20"/>
      <name val="Times New Roman"/>
      <family val="1"/>
    </font>
    <font>
      <sz val="14"/>
      <name val="Times New Roman"/>
      <family val="1"/>
    </font>
    <font>
      <sz val="10"/>
      <name val="Times New Roman"/>
      <family val="1"/>
    </font>
    <font>
      <sz val="9"/>
      <color indexed="45"/>
      <name val="Arial"/>
      <family val="2"/>
    </font>
    <font>
      <sz val="9"/>
      <color indexed="50"/>
      <name val="Arial"/>
      <family val="2"/>
    </font>
    <font>
      <b/>
      <sz val="9"/>
      <color indexed="19"/>
      <name val="Arial"/>
      <family val="2"/>
    </font>
    <font>
      <sz val="9"/>
      <color indexed="12"/>
      <name val="Arial"/>
      <family val="2"/>
    </font>
    <font>
      <sz val="9"/>
      <color indexed="19"/>
      <name val="Arial"/>
      <family val="2"/>
    </font>
    <font>
      <b/>
      <sz val="10"/>
      <color indexed="5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3"/>
      <color indexed="18"/>
      <name val="Times New Roman"/>
      <family val="1"/>
    </font>
    <font>
      <sz val="16"/>
      <color indexed="53"/>
      <name val="Times New Roman"/>
      <family val="1"/>
    </font>
    <font>
      <sz val="12"/>
      <color indexed="53"/>
      <name val="Times New Roman"/>
      <family val="1"/>
    </font>
    <font>
      <b/>
      <sz val="18"/>
      <color indexed="53"/>
      <name val="Times New Roman"/>
      <family val="1"/>
    </font>
    <font>
      <sz val="9"/>
      <color indexed="48"/>
      <name val="Arial"/>
      <family val="2"/>
    </font>
    <font>
      <sz val="12"/>
      <name val="Arial"/>
      <family val="2"/>
    </font>
    <font>
      <sz val="12"/>
      <color indexed="14"/>
      <name val="Times New Roman"/>
      <family val="1"/>
    </font>
    <font>
      <sz val="9"/>
      <color indexed="61"/>
      <name val="Arial"/>
      <family val="2"/>
    </font>
    <font>
      <sz val="11"/>
      <color indexed="14"/>
      <name val="Arial"/>
      <family val="2"/>
    </font>
    <font>
      <sz val="10"/>
      <color indexed="12"/>
      <name val="Arial Narrow"/>
      <family val="2"/>
    </font>
    <font>
      <sz val="10"/>
      <color indexed="21"/>
      <name val="Arial Narrow"/>
      <family val="2"/>
    </font>
    <font>
      <sz val="10"/>
      <color indexed="21"/>
      <name val="Arial"/>
      <family val="2"/>
    </font>
    <font>
      <sz val="9"/>
      <color indexed="16"/>
      <name val="Arial"/>
      <family val="2"/>
    </font>
    <font>
      <b/>
      <u/>
      <sz val="10"/>
      <color indexed="60"/>
      <name val="Arial"/>
      <family val="2"/>
    </font>
    <font>
      <sz val="10"/>
      <color indexed="60"/>
      <name val="Arial"/>
      <family val="2"/>
    </font>
    <font>
      <vertAlign val="superscript"/>
      <sz val="9"/>
      <name val="Arial"/>
      <family val="2"/>
    </font>
    <font>
      <sz val="8"/>
      <color indexed="16"/>
      <name val="Arial"/>
      <family val="2"/>
    </font>
    <font>
      <sz val="9"/>
      <color indexed="56"/>
      <name val="Arial"/>
      <family val="2"/>
    </font>
    <font>
      <sz val="10"/>
      <color indexed="60"/>
      <name val="Arial"/>
      <family val="2"/>
    </font>
    <font>
      <b/>
      <sz val="10"/>
      <color indexed="61"/>
      <name val="Arial"/>
      <family val="2"/>
    </font>
    <font>
      <b/>
      <sz val="10"/>
      <color indexed="8"/>
      <name val="Arial"/>
      <family val="2"/>
    </font>
    <font>
      <sz val="10"/>
      <color indexed="17"/>
      <name val="Arial"/>
      <family val="2"/>
    </font>
    <font>
      <sz val="10"/>
      <color indexed="12"/>
      <name val="Arial"/>
      <family val="2"/>
    </font>
    <font>
      <vertAlign val="superscript"/>
      <sz val="10"/>
      <name val="Arial"/>
      <family val="2"/>
    </font>
    <font>
      <vertAlign val="superscript"/>
      <sz val="10"/>
      <color indexed="57"/>
      <name val="Arial"/>
      <family val="2"/>
    </font>
    <font>
      <b/>
      <sz val="24"/>
      <color indexed="17"/>
      <name val="Times New Roman"/>
      <family val="1"/>
    </font>
    <font>
      <sz val="10"/>
      <color rgb="FF993366"/>
      <name val="Arial"/>
      <family val="2"/>
    </font>
    <font>
      <sz val="9"/>
      <color rgb="FF00B050"/>
      <name val="Arial"/>
      <family val="2"/>
    </font>
    <font>
      <sz val="9"/>
      <color rgb="FFFF0000"/>
      <name val="Arial"/>
      <family val="2"/>
    </font>
    <font>
      <sz val="10"/>
      <color theme="5" tint="-0.249977111117893"/>
      <name val="Arial"/>
      <family val="2"/>
    </font>
    <font>
      <sz val="10"/>
      <color rgb="FF7030A0"/>
      <name val="Arial"/>
      <family val="2"/>
    </font>
    <font>
      <sz val="10"/>
      <color rgb="FF00B05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44">
    <xf numFmtId="0" fontId="0"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0" fontId="109" fillId="8" borderId="0" applyNumberFormat="0" applyBorder="0" applyAlignment="0" applyProtection="0"/>
    <xf numFmtId="0" fontId="109" fillId="11" borderId="0" applyNumberFormat="0" applyBorder="0" applyAlignment="0" applyProtection="0"/>
    <xf numFmtId="0" fontId="110" fillId="12"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9" borderId="0" applyNumberFormat="0" applyBorder="0" applyAlignment="0" applyProtection="0"/>
    <xf numFmtId="0" fontId="111" fillId="3" borderId="0" applyNumberFormat="0" applyBorder="0" applyAlignment="0" applyProtection="0"/>
    <xf numFmtId="0" fontId="112" fillId="20" borderId="1" applyNumberFormat="0" applyAlignment="0" applyProtection="0"/>
    <xf numFmtId="0" fontId="113" fillId="21" borderId="2" applyNumberFormat="0" applyAlignment="0" applyProtection="0"/>
    <xf numFmtId="0" fontId="114" fillId="0" borderId="0" applyNumberFormat="0" applyFill="0" applyBorder="0" applyAlignment="0" applyProtection="0"/>
    <xf numFmtId="0" fontId="115" fillId="4" borderId="0" applyNumberFormat="0" applyBorder="0" applyAlignment="0" applyProtection="0"/>
    <xf numFmtId="0" fontId="116" fillId="0" borderId="3" applyNumberFormat="0" applyFill="0" applyAlignment="0" applyProtection="0"/>
    <xf numFmtId="0" fontId="117" fillId="0" borderId="4"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5" fillId="0" borderId="0" applyNumberFormat="0" applyFill="0" applyBorder="0" applyAlignment="0" applyProtection="0">
      <alignment vertical="top"/>
      <protection locked="0"/>
    </xf>
    <xf numFmtId="0" fontId="119" fillId="7" borderId="1" applyNumberFormat="0" applyAlignment="0" applyProtection="0"/>
    <xf numFmtId="0" fontId="120" fillId="0" borderId="6" applyNumberFormat="0" applyFill="0" applyAlignment="0" applyProtection="0"/>
    <xf numFmtId="0" fontId="121" fillId="22" borderId="0" applyNumberFormat="0" applyBorder="0" applyAlignment="0" applyProtection="0"/>
    <xf numFmtId="0" fontId="91" fillId="0" borderId="0"/>
    <xf numFmtId="0" fontId="1" fillId="23" borderId="7" applyNumberFormat="0" applyFont="0" applyAlignment="0" applyProtection="0"/>
    <xf numFmtId="0" fontId="122" fillId="20" borderId="8" applyNumberFormat="0" applyAlignment="0" applyProtection="0"/>
    <xf numFmtId="0" fontId="123" fillId="0" borderId="0" applyNumberFormat="0" applyFill="0" applyBorder="0" applyAlignment="0" applyProtection="0"/>
    <xf numFmtId="0" fontId="124" fillId="0" borderId="9" applyNumberFormat="0" applyFill="0" applyAlignment="0" applyProtection="0"/>
    <xf numFmtId="0" fontId="125" fillId="0" borderId="0" applyNumberFormat="0" applyFill="0" applyBorder="0" applyAlignment="0" applyProtection="0"/>
  </cellStyleXfs>
  <cellXfs count="2436">
    <xf numFmtId="0" fontId="0" fillId="0" borderId="0" xfId="0"/>
    <xf numFmtId="0" fontId="0" fillId="0" borderId="0" xfId="0" applyAlignment="1">
      <alignment horizontal="center"/>
    </xf>
    <xf numFmtId="0" fontId="0" fillId="0" borderId="0" xfId="0" applyAlignment="1"/>
    <xf numFmtId="0" fontId="0" fillId="0" borderId="0" xfId="0" applyAlignment="1">
      <alignment horizontal="left"/>
    </xf>
    <xf numFmtId="0" fontId="0" fillId="0" borderId="10" xfId="0" applyBorder="1"/>
    <xf numFmtId="0" fontId="3" fillId="0" borderId="0" xfId="0" applyFont="1"/>
    <xf numFmtId="0" fontId="4" fillId="0" borderId="0" xfId="0" applyFont="1"/>
    <xf numFmtId="0" fontId="0" fillId="0" borderId="0" xfId="0" applyBorder="1"/>
    <xf numFmtId="0" fontId="0" fillId="0" borderId="0" xfId="0" applyBorder="1" applyAlignment="1">
      <alignment horizontal="center"/>
    </xf>
    <xf numFmtId="0" fontId="0" fillId="0" borderId="11" xfId="0" quotePrefix="1" applyBorder="1" applyAlignment="1">
      <alignment horizontal="center"/>
    </xf>
    <xf numFmtId="0" fontId="0" fillId="0" borderId="0" xfId="0" applyAlignment="1">
      <alignment horizontal="right"/>
    </xf>
    <xf numFmtId="0" fontId="7" fillId="0" borderId="0" xfId="0" applyFont="1"/>
    <xf numFmtId="0" fontId="7" fillId="0" borderId="0" xfId="0" applyFont="1" applyBorder="1"/>
    <xf numFmtId="0" fontId="7" fillId="0" borderId="0" xfId="0" applyFont="1" applyAlignment="1">
      <alignment horizontal="center" vertical="center"/>
    </xf>
    <xf numFmtId="0" fontId="0" fillId="0" borderId="0" xfId="0" applyFill="1" applyBorder="1" applyAlignment="1">
      <alignment horizontal="right"/>
    </xf>
    <xf numFmtId="0" fontId="0" fillId="0" borderId="0" xfId="0" applyBorder="1" applyAlignment="1">
      <alignment horizontal="right"/>
    </xf>
    <xf numFmtId="0" fontId="0" fillId="0" borderId="0" xfId="0" quotePrefix="1"/>
    <xf numFmtId="0" fontId="4" fillId="0" borderId="10" xfId="0" applyFont="1" applyBorder="1"/>
    <xf numFmtId="0" fontId="0" fillId="0" borderId="0" xfId="0" applyAlignment="1">
      <alignment vertical="top" wrapText="1"/>
    </xf>
    <xf numFmtId="0" fontId="0" fillId="0" borderId="0" xfId="0" quotePrefix="1" applyBorder="1" applyAlignment="1">
      <alignment horizontal="center"/>
    </xf>
    <xf numFmtId="2" fontId="0" fillId="0" borderId="0" xfId="0" applyNumberFormat="1"/>
    <xf numFmtId="0" fontId="0" fillId="0" borderId="0" xfId="0" applyBorder="1" applyAlignment="1">
      <alignment horizontal="left"/>
    </xf>
    <xf numFmtId="0" fontId="3" fillId="0" borderId="0" xfId="0" applyFont="1" applyBorder="1" applyAlignment="1">
      <alignment horizontal="left" vertical="top" wrapText="1"/>
    </xf>
    <xf numFmtId="0" fontId="3" fillId="0" borderId="0" xfId="0" applyFont="1" applyBorder="1" applyAlignment="1">
      <alignment horizontal="center" vertical="top" wrapText="1"/>
    </xf>
    <xf numFmtId="0" fontId="0" fillId="0" borderId="0" xfId="0" applyAlignment="1">
      <alignment vertical="top"/>
    </xf>
    <xf numFmtId="0" fontId="7" fillId="0" borderId="0" xfId="0" applyFont="1" applyAlignment="1">
      <alignment horizontal="right"/>
    </xf>
    <xf numFmtId="0" fontId="3" fillId="0" borderId="0" xfId="0" applyFont="1" applyBorder="1" applyAlignment="1">
      <alignment horizontal="center" vertical="top"/>
    </xf>
    <xf numFmtId="0" fontId="5" fillId="0" borderId="0" xfId="34" applyAlignment="1" applyProtection="1"/>
    <xf numFmtId="0" fontId="0" fillId="0" borderId="10" xfId="0" applyBorder="1" applyAlignment="1">
      <alignment horizontal="center" vertical="center"/>
    </xf>
    <xf numFmtId="0" fontId="0" fillId="0" borderId="12" xfId="0" applyBorder="1" applyAlignment="1">
      <alignment horizontal="right"/>
    </xf>
    <xf numFmtId="0" fontId="0" fillId="0" borderId="13" xfId="0" quotePrefix="1" applyBorder="1" applyAlignment="1">
      <alignment horizontal="center"/>
    </xf>
    <xf numFmtId="0" fontId="0" fillId="0" borderId="14" xfId="0" applyBorder="1"/>
    <xf numFmtId="0" fontId="0" fillId="0" borderId="15" xfId="0" applyBorder="1"/>
    <xf numFmtId="0" fontId="0" fillId="0" borderId="16" xfId="0" applyBorder="1" applyAlignment="1">
      <alignment horizontal="center"/>
    </xf>
    <xf numFmtId="0" fontId="0" fillId="0" borderId="17" xfId="0" applyBorder="1"/>
    <xf numFmtId="0" fontId="0" fillId="0" borderId="0" xfId="0" applyFill="1" applyBorder="1" applyAlignment="1">
      <alignment horizontal="center"/>
    </xf>
    <xf numFmtId="0" fontId="3" fillId="0" borderId="0" xfId="0" applyFont="1" applyBorder="1" applyAlignment="1">
      <alignment horizontal="center" vertical="center"/>
    </xf>
    <xf numFmtId="0" fontId="3" fillId="0" borderId="0" xfId="0" applyFont="1" applyAlignment="1">
      <alignment horizontal="center" vertical="center"/>
    </xf>
    <xf numFmtId="0" fontId="0" fillId="0" borderId="0" xfId="0" applyFill="1" applyBorder="1"/>
    <xf numFmtId="0" fontId="0" fillId="0" borderId="0" xfId="0" quotePrefix="1" applyBorder="1"/>
    <xf numFmtId="0" fontId="3" fillId="0" borderId="10" xfId="0" applyFont="1" applyBorder="1" applyAlignment="1">
      <alignment horizontal="center" vertical="top" wrapText="1"/>
    </xf>
    <xf numFmtId="0" fontId="4" fillId="0" borderId="0" xfId="0" quotePrefix="1" applyFont="1"/>
    <xf numFmtId="0" fontId="4" fillId="0" borderId="0" xfId="0" applyFont="1" applyBorder="1"/>
    <xf numFmtId="0" fontId="4" fillId="0" borderId="0" xfId="0" applyFont="1" applyBorder="1" applyAlignment="1">
      <alignment horizontal="left" vertical="center"/>
    </xf>
    <xf numFmtId="0" fontId="3" fillId="0" borderId="10" xfId="0" applyFont="1" applyBorder="1" applyAlignment="1">
      <alignment horizontal="center" vertical="center"/>
    </xf>
    <xf numFmtId="0" fontId="4" fillId="0" borderId="0" xfId="0" applyFont="1" applyAlignment="1">
      <alignment horizontal="right"/>
    </xf>
    <xf numFmtId="0" fontId="0" fillId="0" borderId="0" xfId="0" applyBorder="1" applyAlignment="1">
      <alignment horizontal="center" vertical="center"/>
    </xf>
    <xf numFmtId="0" fontId="3" fillId="0" borderId="0" xfId="0" applyFont="1" applyAlignment="1">
      <alignment horizontal="center" vertical="top"/>
    </xf>
    <xf numFmtId="0" fontId="9" fillId="0" borderId="0" xfId="0" applyFont="1" applyBorder="1"/>
    <xf numFmtId="0" fontId="0" fillId="0" borderId="11" xfId="0" quotePrefix="1" applyBorder="1" applyAlignment="1">
      <alignment horizontal="center" vertical="center"/>
    </xf>
    <xf numFmtId="0" fontId="0" fillId="0" borderId="13" xfId="0" applyBorder="1" applyAlignment="1">
      <alignment horizontal="center" vertical="center"/>
    </xf>
    <xf numFmtId="0" fontId="3" fillId="0" borderId="0" xfId="0" applyFont="1" applyAlignment="1">
      <alignment horizontal="center"/>
    </xf>
    <xf numFmtId="0" fontId="0" fillId="0" borderId="18" xfId="0" applyBorder="1" applyAlignment="1">
      <alignment horizontal="center" vertical="center"/>
    </xf>
    <xf numFmtId="0" fontId="0" fillId="0" borderId="18" xfId="0" quotePrefix="1" applyBorder="1" applyAlignment="1">
      <alignment horizontal="center"/>
    </xf>
    <xf numFmtId="0" fontId="0" fillId="0" borderId="15" xfId="0" applyBorder="1" applyAlignment="1">
      <alignment horizontal="center"/>
    </xf>
    <xf numFmtId="49" fontId="3" fillId="0" borderId="0" xfId="0" applyNumberFormat="1" applyFont="1" applyAlignment="1">
      <alignment horizontal="lef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vertical="center"/>
    </xf>
    <xf numFmtId="0" fontId="0" fillId="0" borderId="13" xfId="0" quotePrefix="1" applyBorder="1" applyAlignment="1">
      <alignment horizontal="center" vertical="center"/>
    </xf>
    <xf numFmtId="0" fontId="3" fillId="0" borderId="0" xfId="0" applyFont="1" applyBorder="1" applyAlignment="1">
      <alignment horizontal="left"/>
    </xf>
    <xf numFmtId="0" fontId="0" fillId="0" borderId="0" xfId="0" applyBorder="1" applyProtection="1">
      <protection locked="0"/>
    </xf>
    <xf numFmtId="0" fontId="0" fillId="0" borderId="0" xfId="0" applyProtection="1">
      <protection locked="0"/>
    </xf>
    <xf numFmtId="0" fontId="0" fillId="0" borderId="19" xfId="0" quotePrefix="1" applyBorder="1" applyAlignment="1">
      <alignment horizontal="center" vertical="center"/>
    </xf>
    <xf numFmtId="0" fontId="0" fillId="0" borderId="0" xfId="0" applyAlignment="1" applyProtection="1">
      <alignment horizontal="right"/>
      <protection locked="0"/>
    </xf>
    <xf numFmtId="0" fontId="0" fillId="0" borderId="0" xfId="0" applyAlignment="1" applyProtection="1">
      <alignment horizontal="center" vertical="center"/>
      <protection locked="0"/>
    </xf>
    <xf numFmtId="0" fontId="0" fillId="0" borderId="0" xfId="0" applyBorder="1" applyAlignment="1" applyProtection="1">
      <alignment horizontal="left"/>
      <protection locked="0"/>
    </xf>
    <xf numFmtId="0" fontId="0" fillId="0" borderId="0" xfId="0" applyBorder="1" applyAlignment="1" applyProtection="1">
      <alignment horizontal="center"/>
      <protection locked="0"/>
    </xf>
    <xf numFmtId="0" fontId="7" fillId="0" borderId="0" xfId="0" applyFont="1" applyProtection="1">
      <protection locked="0"/>
    </xf>
    <xf numFmtId="0" fontId="4" fillId="0" borderId="0" xfId="0" applyFont="1" applyProtection="1">
      <protection locked="0"/>
    </xf>
    <xf numFmtId="0" fontId="0" fillId="0" borderId="0" xfId="0" applyAlignment="1" applyProtection="1">
      <protection locked="0"/>
    </xf>
    <xf numFmtId="0" fontId="9" fillId="0" borderId="0" xfId="0" applyFont="1" applyProtection="1">
      <protection locked="0"/>
    </xf>
    <xf numFmtId="0" fontId="0" fillId="0" borderId="20" xfId="0" applyBorder="1"/>
    <xf numFmtId="0" fontId="0" fillId="0" borderId="19" xfId="0" quotePrefix="1" applyBorder="1" applyAlignment="1">
      <alignment horizontal="center"/>
    </xf>
    <xf numFmtId="0" fontId="0" fillId="0" borderId="18" xfId="0" quotePrefix="1" applyBorder="1" applyAlignment="1">
      <alignment horizontal="center" vertical="center"/>
    </xf>
    <xf numFmtId="2" fontId="0" fillId="0" borderId="0" xfId="0" applyNumberFormat="1" applyBorder="1"/>
    <xf numFmtId="2" fontId="0" fillId="0" borderId="14" xfId="0" applyNumberFormat="1" applyBorder="1" applyAlignment="1">
      <alignment horizontal="center"/>
    </xf>
    <xf numFmtId="2" fontId="0" fillId="0" borderId="0" xfId="0" applyNumberFormat="1" applyBorder="1" applyAlignment="1">
      <alignment horizontal="center"/>
    </xf>
    <xf numFmtId="164"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0" fillId="0" borderId="10"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0" xfId="0" applyBorder="1" applyAlignment="1" applyProtection="1">
      <alignment horizontal="right"/>
      <protection locked="0"/>
    </xf>
    <xf numFmtId="0" fontId="0" fillId="0" borderId="0" xfId="0" applyBorder="1" applyAlignment="1"/>
    <xf numFmtId="2" fontId="8" fillId="0" borderId="0" xfId="0" applyNumberFormat="1" applyFont="1" applyAlignment="1">
      <alignment horizontal="center" vertical="top" wrapText="1"/>
    </xf>
    <xf numFmtId="0" fontId="0" fillId="0" borderId="17" xfId="0" quotePrefix="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2" fontId="0" fillId="0" borderId="0" xfId="0" applyNumberFormat="1" applyAlignment="1">
      <alignment horizontal="center"/>
    </xf>
    <xf numFmtId="2" fontId="0" fillId="0" borderId="0" xfId="0" applyNumberFormat="1" applyBorder="1" applyAlignment="1">
      <alignment horizontal="right"/>
    </xf>
    <xf numFmtId="0" fontId="0" fillId="0" borderId="0" xfId="0" applyFill="1" applyBorder="1" applyProtection="1">
      <protection locked="0"/>
    </xf>
    <xf numFmtId="0" fontId="2" fillId="0" borderId="0" xfId="0" applyFont="1" applyProtection="1">
      <protection locked="0"/>
    </xf>
    <xf numFmtId="0" fontId="0" fillId="0" borderId="22" xfId="0" applyBorder="1" applyAlignment="1">
      <alignment horizontal="center" vertical="center"/>
    </xf>
    <xf numFmtId="164" fontId="0" fillId="0" borderId="0" xfId="0" applyNumberFormat="1" applyBorder="1" applyAlignment="1">
      <alignment horizontal="center"/>
    </xf>
    <xf numFmtId="164" fontId="0" fillId="0" borderId="14" xfId="0" applyNumberFormat="1" applyBorder="1" applyAlignment="1">
      <alignment horizontal="center"/>
    </xf>
    <xf numFmtId="0" fontId="3" fillId="0" borderId="14" xfId="0" applyFont="1" applyBorder="1"/>
    <xf numFmtId="0" fontId="4" fillId="0" borderId="0" xfId="0" applyFont="1" applyBorder="1" applyAlignment="1">
      <alignment horizontal="center"/>
    </xf>
    <xf numFmtId="0" fontId="4" fillId="0" borderId="17" xfId="0" applyFont="1" applyBorder="1" applyAlignment="1">
      <alignment horizontal="center"/>
    </xf>
    <xf numFmtId="0" fontId="4" fillId="0" borderId="14" xfId="0" applyFont="1" applyBorder="1" applyAlignment="1">
      <alignment horizontal="center"/>
    </xf>
    <xf numFmtId="0" fontId="0" fillId="0" borderId="22" xfId="0" applyBorder="1" applyAlignment="1">
      <alignment horizontal="center"/>
    </xf>
    <xf numFmtId="0" fontId="3" fillId="0" borderId="0"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vertical="center"/>
    </xf>
    <xf numFmtId="164" fontId="3" fillId="0" borderId="14" xfId="0" applyNumberFormat="1" applyFont="1" applyBorder="1" applyAlignment="1">
      <alignment horizontal="center"/>
    </xf>
    <xf numFmtId="0" fontId="0" fillId="0" borderId="0" xfId="0" applyBorder="1" applyAlignment="1" applyProtection="1">
      <alignment horizontal="center" vertical="center"/>
      <protection locked="0"/>
    </xf>
    <xf numFmtId="0" fontId="3" fillId="0" borderId="23" xfId="0" applyFont="1" applyBorder="1"/>
    <xf numFmtId="2" fontId="0" fillId="0" borderId="0" xfId="0" applyNumberFormat="1" applyBorder="1" applyAlignment="1">
      <alignment horizontal="center" vertical="center"/>
    </xf>
    <xf numFmtId="2" fontId="0" fillId="0" borderId="14" xfId="0" applyNumberFormat="1" applyBorder="1" applyAlignment="1">
      <alignment horizontal="center" vertical="center"/>
    </xf>
    <xf numFmtId="0" fontId="4" fillId="0" borderId="0" xfId="0" applyFont="1"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4" xfId="0" quotePrefix="1" applyBorder="1" applyAlignment="1" applyProtection="1">
      <alignment horizontal="center" vertical="center"/>
      <protection locked="0"/>
    </xf>
    <xf numFmtId="2" fontId="0" fillId="0" borderId="14" xfId="0" applyNumberForma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0" xfId="0"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1" fontId="0" fillId="0" borderId="0" xfId="0" applyNumberFormat="1" applyBorder="1"/>
    <xf numFmtId="0" fontId="0" fillId="0" borderId="18" xfId="0" applyBorder="1"/>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3" fillId="0" borderId="20" xfId="0" applyFont="1" applyBorder="1" applyAlignment="1">
      <alignment horizontal="center"/>
    </xf>
    <xf numFmtId="0" fontId="3" fillId="0" borderId="17" xfId="0" applyFont="1" applyBorder="1" applyAlignment="1">
      <alignment horizontal="center" vertical="center"/>
    </xf>
    <xf numFmtId="0" fontId="0" fillId="0" borderId="14"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21" fillId="0" borderId="0" xfId="0" applyFont="1" applyBorder="1"/>
    <xf numFmtId="0" fontId="0" fillId="0" borderId="0" xfId="0" applyAlignment="1">
      <alignment vertical="center"/>
    </xf>
    <xf numFmtId="0" fontId="0" fillId="0" borderId="10" xfId="0" applyBorder="1" applyAlignment="1">
      <alignment vertical="center"/>
    </xf>
    <xf numFmtId="0" fontId="0" fillId="0" borderId="12" xfId="0" applyBorder="1" applyAlignment="1">
      <alignment vertical="top"/>
    </xf>
    <xf numFmtId="164" fontId="0" fillId="0" borderId="0" xfId="0" applyNumberFormat="1" applyBorder="1" applyAlignment="1" applyProtection="1">
      <alignment horizontal="center" vertical="center"/>
      <protection locked="0"/>
    </xf>
    <xf numFmtId="2" fontId="0" fillId="0" borderId="23" xfId="0" applyNumberFormat="1" applyBorder="1" applyAlignment="1">
      <alignment horizontal="center" vertical="center"/>
    </xf>
    <xf numFmtId="0" fontId="18" fillId="0" borderId="19" xfId="0" applyFont="1" applyBorder="1" applyAlignment="1">
      <alignment horizontal="center" vertical="center"/>
    </xf>
    <xf numFmtId="0" fontId="23" fillId="0" borderId="19" xfId="0" quotePrefix="1" applyFont="1" applyBorder="1" applyAlignment="1">
      <alignment horizontal="center" vertical="center"/>
    </xf>
    <xf numFmtId="0" fontId="23" fillId="0" borderId="11" xfId="0" quotePrefix="1" applyFont="1" applyBorder="1" applyAlignment="1">
      <alignment horizontal="center" vertical="center"/>
    </xf>
    <xf numFmtId="0" fontId="23" fillId="0" borderId="13" xfId="0" quotePrefix="1" applyFont="1" applyBorder="1" applyAlignment="1">
      <alignment horizontal="center" vertical="center"/>
    </xf>
    <xf numFmtId="0" fontId="23" fillId="0" borderId="18" xfId="0" quotePrefix="1" applyFont="1" applyBorder="1" applyAlignment="1">
      <alignment horizontal="center" vertical="center"/>
    </xf>
    <xf numFmtId="0" fontId="24" fillId="0" borderId="11" xfId="0" applyFont="1" applyBorder="1" applyAlignment="1">
      <alignment horizontal="center" vertical="center"/>
    </xf>
    <xf numFmtId="0" fontId="24" fillId="0" borderId="13" xfId="0" applyFont="1" applyBorder="1" applyAlignment="1">
      <alignment horizontal="center" vertical="center"/>
    </xf>
    <xf numFmtId="2" fontId="0" fillId="0" borderId="15" xfId="0" applyNumberFormat="1" applyBorder="1" applyAlignment="1">
      <alignment horizontal="center" vertical="center"/>
    </xf>
    <xf numFmtId="0" fontId="3" fillId="0" borderId="14" xfId="0" applyFont="1" applyBorder="1" applyAlignment="1">
      <alignment horizontal="left"/>
    </xf>
    <xf numFmtId="2" fontId="0" fillId="0" borderId="20" xfId="0" applyNumberFormat="1" applyBorder="1" applyAlignment="1">
      <alignment horizontal="center" vertical="center"/>
    </xf>
    <xf numFmtId="2" fontId="0" fillId="0" borderId="21" xfId="0" applyNumberForma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14" xfId="0" applyFont="1" applyBorder="1" applyAlignment="1" applyProtection="1">
      <alignment horizontal="center" vertical="center"/>
      <protection locked="0"/>
    </xf>
    <xf numFmtId="0" fontId="4" fillId="0" borderId="0" xfId="0" applyFont="1" applyAlignment="1">
      <alignment horizontal="center" vertical="center"/>
    </xf>
    <xf numFmtId="0" fontId="0" fillId="0" borderId="0" xfId="0" applyBorder="1" applyAlignment="1" applyProtection="1">
      <alignment vertical="center"/>
      <protection locked="0"/>
    </xf>
    <xf numFmtId="0" fontId="0" fillId="0" borderId="17" xfId="0" applyBorder="1" applyAlignment="1">
      <alignment vertical="center"/>
    </xf>
    <xf numFmtId="0" fontId="0" fillId="0" borderId="0" xfId="0" applyBorder="1" applyAlignment="1">
      <alignment vertical="center"/>
    </xf>
    <xf numFmtId="0" fontId="11" fillId="0" borderId="0" xfId="0" applyFont="1" applyBorder="1" applyAlignment="1">
      <alignment horizontal="left"/>
    </xf>
    <xf numFmtId="164" fontId="0" fillId="0" borderId="17" xfId="0" applyNumberFormat="1" applyBorder="1" applyAlignment="1" applyProtection="1">
      <alignment horizontal="center" vertical="center"/>
      <protection locked="0"/>
    </xf>
    <xf numFmtId="164" fontId="0" fillId="0" borderId="0" xfId="0" quotePrefix="1" applyNumberFormat="1" applyBorder="1" applyAlignment="1">
      <alignment horizontal="center" vertical="center"/>
    </xf>
    <xf numFmtId="164" fontId="0" fillId="0" borderId="17" xfId="0" quotePrefix="1" applyNumberFormat="1" applyFill="1" applyBorder="1" applyAlignment="1">
      <alignment horizontal="center" vertical="center"/>
    </xf>
    <xf numFmtId="0" fontId="0" fillId="0" borderId="0" xfId="0" quotePrefix="1" applyBorder="1" applyAlignment="1" applyProtection="1">
      <alignment horizontal="center" vertical="center"/>
      <protection locked="0"/>
    </xf>
    <xf numFmtId="0" fontId="18" fillId="0" borderId="10" xfId="0" applyFont="1" applyBorder="1" applyAlignment="1">
      <alignment horizontal="center" vertical="center"/>
    </xf>
    <xf numFmtId="0" fontId="18" fillId="0" borderId="16" xfId="0" applyFont="1" applyBorder="1" applyAlignment="1">
      <alignment horizontal="center" vertical="center" wrapText="1"/>
    </xf>
    <xf numFmtId="0" fontId="18" fillId="0" borderId="18" xfId="0" applyFont="1" applyBorder="1" applyAlignment="1">
      <alignment horizontal="center"/>
    </xf>
    <xf numFmtId="0" fontId="18" fillId="0" borderId="13" xfId="0" applyFont="1" applyBorder="1" applyAlignment="1">
      <alignment horizontal="center"/>
    </xf>
    <xf numFmtId="0" fontId="18" fillId="0" borderId="22" xfId="0" applyFont="1" applyBorder="1" applyAlignment="1">
      <alignment horizontal="center" vertical="center"/>
    </xf>
    <xf numFmtId="0" fontId="18" fillId="0" borderId="21" xfId="0" applyFont="1" applyBorder="1" applyAlignment="1">
      <alignment horizontal="center" vertical="center"/>
    </xf>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18" fillId="0" borderId="18" xfId="0" applyFont="1" applyBorder="1" applyAlignment="1">
      <alignment horizontal="center" vertical="center"/>
    </xf>
    <xf numFmtId="0" fontId="17" fillId="0" borderId="20" xfId="0" applyFont="1" applyBorder="1" applyAlignment="1">
      <alignment vertical="center"/>
    </xf>
    <xf numFmtId="0" fontId="18" fillId="0" borderId="17" xfId="0" applyFont="1" applyBorder="1" applyAlignment="1">
      <alignment horizontal="center"/>
    </xf>
    <xf numFmtId="0" fontId="18" fillId="0" borderId="14" xfId="0" applyFont="1" applyBorder="1" applyAlignment="1">
      <alignment horizontal="center"/>
    </xf>
    <xf numFmtId="0" fontId="18" fillId="0" borderId="0" xfId="0" applyFont="1" applyBorder="1" applyAlignment="1">
      <alignment horizontal="center"/>
    </xf>
    <xf numFmtId="0" fontId="18" fillId="0" borderId="16" xfId="0" applyFont="1" applyBorder="1" applyAlignment="1">
      <alignment horizontal="center"/>
    </xf>
    <xf numFmtId="0" fontId="18" fillId="0" borderId="15" xfId="0" applyFont="1" applyBorder="1" applyAlignment="1">
      <alignment horizontal="center"/>
    </xf>
    <xf numFmtId="16" fontId="28" fillId="0" borderId="22" xfId="0" quotePrefix="1" applyNumberFormat="1" applyFont="1" applyBorder="1" applyAlignment="1">
      <alignment horizontal="center" vertical="center"/>
    </xf>
    <xf numFmtId="0" fontId="23" fillId="0" borderId="19" xfId="0" quotePrefix="1" applyFont="1" applyBorder="1" applyAlignment="1">
      <alignment horizontal="center"/>
    </xf>
    <xf numFmtId="0" fontId="23" fillId="0" borderId="18" xfId="0" quotePrefix="1" applyFont="1" applyBorder="1" applyAlignment="1">
      <alignment horizontal="center"/>
    </xf>
    <xf numFmtId="0" fontId="23" fillId="0" borderId="13" xfId="0" quotePrefix="1" applyFont="1" applyBorder="1" applyAlignment="1">
      <alignment horizontal="center"/>
    </xf>
    <xf numFmtId="0" fontId="18" fillId="0" borderId="11" xfId="0" applyFont="1" applyBorder="1" applyAlignment="1">
      <alignment horizontal="center" vertical="center" wrapText="1"/>
    </xf>
    <xf numFmtId="0" fontId="23" fillId="0" borderId="11" xfId="0" quotePrefix="1" applyFont="1" applyBorder="1" applyAlignment="1">
      <alignment horizontal="center"/>
    </xf>
    <xf numFmtId="0" fontId="28" fillId="0" borderId="22" xfId="0" applyFont="1" applyBorder="1" applyAlignment="1" applyProtection="1">
      <alignment vertical="top" wrapText="1"/>
      <protection locked="0"/>
    </xf>
    <xf numFmtId="0" fontId="28" fillId="0" borderId="0" xfId="0" applyFont="1" applyBorder="1" applyAlignment="1" applyProtection="1">
      <alignment horizontal="center"/>
      <protection locked="0"/>
    </xf>
    <xf numFmtId="0" fontId="28" fillId="0" borderId="14" xfId="0" applyFont="1" applyBorder="1" applyAlignment="1" applyProtection="1">
      <alignment horizontal="center"/>
      <protection locked="0"/>
    </xf>
    <xf numFmtId="0" fontId="28" fillId="0" borderId="20" xfId="0" applyFont="1" applyBorder="1" applyProtection="1">
      <protection locked="0"/>
    </xf>
    <xf numFmtId="0" fontId="17" fillId="0" borderId="20" xfId="0" applyFont="1" applyBorder="1" applyProtection="1">
      <protection locked="0"/>
    </xf>
    <xf numFmtId="0" fontId="17" fillId="0" borderId="20" xfId="0" applyFont="1" applyBorder="1"/>
    <xf numFmtId="0" fontId="18" fillId="0" borderId="11" xfId="0" applyFont="1" applyBorder="1" applyAlignment="1">
      <alignment horizontal="center"/>
    </xf>
    <xf numFmtId="0" fontId="28" fillId="0" borderId="14" xfId="0" applyFont="1" applyBorder="1" applyAlignment="1">
      <alignment horizontal="left"/>
    </xf>
    <xf numFmtId="0" fontId="16" fillId="0" borderId="20" xfId="0" applyFont="1" applyBorder="1" applyAlignment="1">
      <alignment horizontal="center"/>
    </xf>
    <xf numFmtId="0" fontId="15" fillId="0" borderId="20" xfId="0" applyFont="1" applyBorder="1"/>
    <xf numFmtId="0" fontId="13" fillId="0" borderId="20" xfId="0" applyFont="1" applyBorder="1" applyAlignment="1">
      <alignment horizontal="center" vertical="center"/>
    </xf>
    <xf numFmtId="0" fontId="15" fillId="0" borderId="20" xfId="0" applyFont="1" applyBorder="1" applyAlignment="1">
      <alignment horizontal="center" vertical="center"/>
    </xf>
    <xf numFmtId="0" fontId="18" fillId="0" borderId="22" xfId="0" applyFont="1" applyBorder="1" applyAlignment="1">
      <alignment horizontal="center" vertical="top" wrapText="1"/>
    </xf>
    <xf numFmtId="0" fontId="35" fillId="0" borderId="0" xfId="0" applyFont="1"/>
    <xf numFmtId="0" fontId="23" fillId="0" borderId="18" xfId="0" quotePrefix="1" applyFont="1" applyFill="1" applyBorder="1" applyAlignment="1">
      <alignment horizontal="center" vertical="center"/>
    </xf>
    <xf numFmtId="0" fontId="23" fillId="0" borderId="13" xfId="0" quotePrefix="1" applyFont="1" applyFill="1" applyBorder="1" applyAlignment="1">
      <alignment horizontal="center" vertical="center"/>
    </xf>
    <xf numFmtId="0" fontId="23" fillId="0" borderId="19" xfId="0" quotePrefix="1" applyFont="1" applyFill="1" applyBorder="1" applyAlignment="1">
      <alignment horizontal="center" vertical="center"/>
    </xf>
    <xf numFmtId="0" fontId="13" fillId="0" borderId="10" xfId="0" applyFont="1" applyBorder="1" applyAlignment="1">
      <alignment horizontal="right"/>
    </xf>
    <xf numFmtId="0" fontId="24" fillId="0" borderId="21" xfId="0" applyFont="1" applyBorder="1" applyAlignment="1">
      <alignment horizontal="center" vertical="center"/>
    </xf>
    <xf numFmtId="0" fontId="24" fillId="0" borderId="10" xfId="0" applyFont="1" applyBorder="1" applyAlignment="1">
      <alignment horizontal="center" vertical="center"/>
    </xf>
    <xf numFmtId="0" fontId="24" fillId="0" borderId="15"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 fillId="0" borderId="20" xfId="0" applyFont="1" applyBorder="1" applyAlignment="1">
      <alignment vertical="center"/>
    </xf>
    <xf numFmtId="0" fontId="22" fillId="0" borderId="20" xfId="0" applyFont="1" applyBorder="1" applyAlignment="1">
      <alignment vertical="center" wrapText="1"/>
    </xf>
    <xf numFmtId="0" fontId="13" fillId="0" borderId="0" xfId="0" applyFont="1"/>
    <xf numFmtId="0" fontId="35" fillId="0" borderId="0" xfId="0" applyFont="1" applyProtection="1">
      <protection locked="0"/>
    </xf>
    <xf numFmtId="0" fontId="13" fillId="0" borderId="0" xfId="0" applyFont="1" applyBorder="1" applyAlignment="1">
      <alignment horizontal="right"/>
    </xf>
    <xf numFmtId="0" fontId="23" fillId="0" borderId="19" xfId="0" quotePrefix="1" applyFont="1" applyBorder="1" applyAlignment="1">
      <alignment horizontal="center" vertical="top" wrapText="1"/>
    </xf>
    <xf numFmtId="0" fontId="24" fillId="0" borderId="19" xfId="0" applyFont="1" applyBorder="1"/>
    <xf numFmtId="0" fontId="24" fillId="0" borderId="11" xfId="0" applyFont="1" applyBorder="1" applyAlignment="1">
      <alignment horizontal="center"/>
    </xf>
    <xf numFmtId="0" fontId="24" fillId="0" borderId="13" xfId="0" applyFont="1" applyBorder="1" applyAlignment="1">
      <alignment horizontal="center"/>
    </xf>
    <xf numFmtId="0" fontId="23" fillId="0" borderId="19" xfId="0" quotePrefix="1" applyFont="1" applyBorder="1" applyAlignment="1">
      <alignment horizontal="center" vertical="center" wrapText="1"/>
    </xf>
    <xf numFmtId="0" fontId="39" fillId="0" borderId="19" xfId="0" applyFont="1" applyFill="1" applyBorder="1" applyAlignment="1">
      <alignment horizontal="center" vertical="center" wrapText="1"/>
    </xf>
    <xf numFmtId="2" fontId="40" fillId="0" borderId="13" xfId="0" applyNumberFormat="1" applyFont="1" applyBorder="1" applyAlignment="1">
      <alignment horizontal="center" vertical="center"/>
    </xf>
    <xf numFmtId="164" fontId="40" fillId="0" borderId="11" xfId="0" applyNumberFormat="1" applyFont="1" applyBorder="1" applyAlignment="1">
      <alignment horizontal="center" vertical="center"/>
    </xf>
    <xf numFmtId="0" fontId="23" fillId="0" borderId="13" xfId="0" quotePrefix="1" applyFont="1" applyFill="1" applyBorder="1" applyAlignment="1">
      <alignment horizontal="center"/>
    </xf>
    <xf numFmtId="0" fontId="23" fillId="0" borderId="18" xfId="0" quotePrefix="1" applyFont="1" applyFill="1" applyBorder="1" applyAlignment="1">
      <alignment horizontal="center"/>
    </xf>
    <xf numFmtId="0" fontId="24" fillId="0" borderId="21" xfId="0" applyFont="1" applyBorder="1" applyAlignment="1" applyProtection="1">
      <alignment horizontal="center"/>
      <protection locked="0"/>
    </xf>
    <xf numFmtId="0" fontId="24" fillId="0" borderId="10" xfId="0" applyFont="1" applyBorder="1" applyAlignment="1" applyProtection="1">
      <alignment horizontal="center"/>
      <protection locked="0"/>
    </xf>
    <xf numFmtId="0" fontId="24" fillId="0" borderId="15" xfId="0" applyFont="1" applyBorder="1" applyAlignment="1" applyProtection="1">
      <alignment horizontal="center"/>
      <protection locked="0"/>
    </xf>
    <xf numFmtId="0" fontId="41" fillId="0" borderId="0" xfId="0" applyFont="1"/>
    <xf numFmtId="0" fontId="43" fillId="0" borderId="20" xfId="0" applyFont="1" applyBorder="1" applyAlignment="1">
      <alignment horizontal="center" vertical="center" wrapText="1"/>
    </xf>
    <xf numFmtId="0" fontId="42" fillId="0" borderId="20" xfId="0" quotePrefix="1" applyFont="1" applyBorder="1" applyAlignment="1">
      <alignment horizontal="center" vertical="center" wrapText="1"/>
    </xf>
    <xf numFmtId="0" fontId="42" fillId="0" borderId="20" xfId="0" quotePrefix="1" applyFont="1" applyBorder="1" applyAlignment="1">
      <alignment horizontal="center" vertical="center"/>
    </xf>
    <xf numFmtId="0" fontId="22" fillId="0" borderId="20" xfId="0" applyFont="1" applyBorder="1" applyAlignment="1" applyProtection="1">
      <alignment horizontal="center" vertical="center"/>
      <protection locked="0"/>
    </xf>
    <xf numFmtId="0" fontId="44" fillId="0" borderId="0" xfId="0" applyFont="1" applyBorder="1"/>
    <xf numFmtId="0" fontId="21" fillId="0" borderId="14" xfId="0" applyFont="1" applyBorder="1"/>
    <xf numFmtId="0" fontId="45" fillId="0" borderId="0" xfId="0" applyFont="1" applyAlignment="1">
      <alignment horizontal="left"/>
    </xf>
    <xf numFmtId="0" fontId="13" fillId="0" borderId="0" xfId="0" applyFont="1" applyAlignment="1">
      <alignment horizontal="right"/>
    </xf>
    <xf numFmtId="0" fontId="13" fillId="0" borderId="0" xfId="0" applyFont="1" applyBorder="1" applyAlignment="1">
      <alignment horizontal="right" vertical="top" wrapText="1"/>
    </xf>
    <xf numFmtId="0" fontId="0" fillId="0" borderId="0" xfId="0" applyAlignment="1" applyProtection="1">
      <alignment vertical="center"/>
      <protection locked="0"/>
    </xf>
    <xf numFmtId="0" fontId="18" fillId="0" borderId="0" xfId="0" applyFont="1" applyBorder="1" applyAlignment="1">
      <alignment horizontal="center" vertical="top" wrapText="1"/>
    </xf>
    <xf numFmtId="0" fontId="18" fillId="0" borderId="0" xfId="0" applyFont="1" applyBorder="1"/>
    <xf numFmtId="0" fontId="18" fillId="0" borderId="11" xfId="0" applyFont="1" applyBorder="1" applyAlignment="1">
      <alignment horizontal="center" vertical="top" wrapText="1"/>
    </xf>
    <xf numFmtId="0" fontId="18" fillId="0" borderId="13" xfId="0" quotePrefix="1" applyFont="1" applyBorder="1" applyAlignment="1">
      <alignment horizontal="center" vertical="center"/>
    </xf>
    <xf numFmtId="0" fontId="18" fillId="0" borderId="13" xfId="0" applyFont="1" applyBorder="1" applyAlignment="1">
      <alignment horizontal="center" vertical="center" wrapText="1"/>
    </xf>
    <xf numFmtId="0" fontId="18" fillId="0" borderId="13" xfId="0" applyFont="1" applyFill="1" applyBorder="1" applyAlignment="1">
      <alignment horizontal="center" vertical="center"/>
    </xf>
    <xf numFmtId="0" fontId="45" fillId="0" borderId="0" xfId="0" applyFont="1" applyProtection="1">
      <protection locked="0"/>
    </xf>
    <xf numFmtId="0" fontId="45" fillId="0" borderId="0" xfId="0" applyFont="1"/>
    <xf numFmtId="0" fontId="24" fillId="0" borderId="22" xfId="0" applyFont="1" applyBorder="1"/>
    <xf numFmtId="0" fontId="24" fillId="0" borderId="0" xfId="0" applyFont="1" applyBorder="1" applyAlignment="1">
      <alignment horizontal="center"/>
    </xf>
    <xf numFmtId="0" fontId="24" fillId="0" borderId="20" xfId="0" applyFont="1" applyBorder="1"/>
    <xf numFmtId="0" fontId="24" fillId="0" borderId="14" xfId="0" applyFont="1" applyBorder="1" applyAlignment="1">
      <alignment horizontal="center"/>
    </xf>
    <xf numFmtId="0" fontId="24" fillId="0" borderId="14" xfId="0" applyFont="1" applyBorder="1" applyAlignment="1" applyProtection="1">
      <alignment horizontal="center"/>
      <protection locked="0"/>
    </xf>
    <xf numFmtId="0" fontId="24" fillId="0" borderId="21" xfId="0" applyFont="1" applyBorder="1"/>
    <xf numFmtId="0" fontId="45" fillId="0" borderId="0" xfId="0" applyFont="1" applyBorder="1" applyAlignment="1">
      <alignment horizontal="left"/>
    </xf>
    <xf numFmtId="0" fontId="45" fillId="0" borderId="0" xfId="0" applyFont="1" applyBorder="1"/>
    <xf numFmtId="0" fontId="35" fillId="0" borderId="0" xfId="0" applyFont="1" applyBorder="1" applyAlignment="1">
      <alignment horizontal="left"/>
    </xf>
    <xf numFmtId="0" fontId="45" fillId="0" borderId="0" xfId="0" applyFont="1" applyAlignment="1">
      <alignment vertical="top"/>
    </xf>
    <xf numFmtId="0" fontId="35" fillId="0" borderId="0" xfId="0" applyFont="1" applyFill="1" applyBorder="1"/>
    <xf numFmtId="0" fontId="47" fillId="0" borderId="0" xfId="0" applyFont="1" applyAlignment="1">
      <alignment horizontal="right"/>
    </xf>
    <xf numFmtId="0" fontId="12" fillId="0" borderId="19" xfId="0" applyFont="1" applyBorder="1" applyAlignment="1">
      <alignment horizontal="center" vertical="center"/>
    </xf>
    <xf numFmtId="0" fontId="12" fillId="0" borderId="13" xfId="0" applyFont="1" applyBorder="1" applyAlignment="1">
      <alignment horizontal="center" vertical="center"/>
    </xf>
    <xf numFmtId="0" fontId="23" fillId="0" borderId="21" xfId="0" quotePrefix="1" applyFont="1" applyBorder="1" applyAlignment="1">
      <alignment horizontal="center" vertical="center"/>
    </xf>
    <xf numFmtId="0" fontId="23" fillId="0" borderId="15" xfId="0" quotePrefix="1" applyFont="1" applyBorder="1" applyAlignment="1">
      <alignment horizontal="center" vertical="center"/>
    </xf>
    <xf numFmtId="0" fontId="28" fillId="0" borderId="14" xfId="0" applyFont="1" applyBorder="1" applyAlignment="1">
      <alignment horizontal="center" vertical="center"/>
    </xf>
    <xf numFmtId="0" fontId="15" fillId="0" borderId="20" xfId="0" quotePrefix="1" applyFont="1" applyBorder="1" applyAlignment="1">
      <alignment horizontal="center" vertical="center"/>
    </xf>
    <xf numFmtId="0" fontId="17" fillId="0" borderId="20" xfId="0" applyFont="1" applyBorder="1" applyAlignment="1">
      <alignment vertical="center" wrapText="1"/>
    </xf>
    <xf numFmtId="0" fontId="17" fillId="0" borderId="21" xfId="0" applyFont="1" applyBorder="1" applyAlignment="1">
      <alignment vertical="center"/>
    </xf>
    <xf numFmtId="0" fontId="13" fillId="0" borderId="21" xfId="0" applyFont="1" applyBorder="1" applyAlignment="1">
      <alignment horizontal="center" vertical="center"/>
    </xf>
    <xf numFmtId="0" fontId="15" fillId="0" borderId="21" xfId="0" applyFont="1" applyBorder="1" applyAlignment="1">
      <alignment horizontal="center" vertical="center"/>
    </xf>
    <xf numFmtId="17" fontId="13" fillId="0" borderId="20" xfId="0" quotePrefix="1" applyNumberFormat="1" applyFont="1" applyBorder="1" applyAlignment="1">
      <alignment horizontal="center" vertical="center"/>
    </xf>
    <xf numFmtId="0" fontId="49" fillId="0" borderId="0" xfId="0" applyFont="1"/>
    <xf numFmtId="0" fontId="21" fillId="0" borderId="20" xfId="0" applyFont="1" applyBorder="1" applyProtection="1">
      <protection locked="0"/>
    </xf>
    <xf numFmtId="0" fontId="21" fillId="0" borderId="21" xfId="0" applyFont="1" applyBorder="1" applyProtection="1">
      <protection locked="0"/>
    </xf>
    <xf numFmtId="0" fontId="18" fillId="0" borderId="0" xfId="0" applyFont="1"/>
    <xf numFmtId="0" fontId="30" fillId="0" borderId="19" xfId="0" quotePrefix="1" applyFont="1" applyBorder="1" applyAlignment="1">
      <alignment horizontal="center" vertical="center" wrapText="1"/>
    </xf>
    <xf numFmtId="0" fontId="30" fillId="0" borderId="13" xfId="0" quotePrefix="1" applyFont="1" applyBorder="1" applyAlignment="1">
      <alignment horizontal="center" vertical="center"/>
    </xf>
    <xf numFmtId="0" fontId="30" fillId="0" borderId="18" xfId="0" quotePrefix="1" applyFont="1" applyBorder="1" applyAlignment="1">
      <alignment horizontal="center" vertical="center"/>
    </xf>
    <xf numFmtId="0" fontId="21" fillId="0" borderId="20" xfId="0" applyFont="1" applyBorder="1" applyAlignment="1" applyProtection="1">
      <alignment vertical="center"/>
      <protection locked="0"/>
    </xf>
    <xf numFmtId="0" fontId="28" fillId="0" borderId="17" xfId="0" applyFont="1" applyBorder="1"/>
    <xf numFmtId="0" fontId="23" fillId="0" borderId="18" xfId="0" quotePrefix="1" applyFont="1" applyBorder="1" applyAlignment="1">
      <alignment horizontal="center" vertical="center" wrapText="1"/>
    </xf>
    <xf numFmtId="0" fontId="23" fillId="0" borderId="11" xfId="0" quotePrefix="1" applyFont="1" applyBorder="1" applyAlignment="1">
      <alignment horizontal="center" vertical="center" wrapText="1"/>
    </xf>
    <xf numFmtId="0" fontId="50" fillId="0" borderId="0" xfId="0" applyFont="1" applyBorder="1"/>
    <xf numFmtId="0" fontId="23" fillId="0" borderId="11" xfId="0" quotePrefix="1" applyFont="1" applyFill="1" applyBorder="1" applyAlignment="1">
      <alignment horizontal="center" vertical="center"/>
    </xf>
    <xf numFmtId="0" fontId="21" fillId="0" borderId="22" xfId="0" applyFont="1" applyBorder="1" applyAlignment="1">
      <alignment horizontal="left" vertical="center"/>
    </xf>
    <xf numFmtId="0" fontId="21" fillId="0" borderId="21" xfId="0" applyFont="1" applyBorder="1" applyAlignment="1">
      <alignment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21" fillId="0" borderId="22" xfId="0" applyFont="1" applyBorder="1" applyAlignment="1">
      <alignment horizontal="center" vertical="center"/>
    </xf>
    <xf numFmtId="0" fontId="21" fillId="0" borderId="20" xfId="0" applyFont="1" applyBorder="1" applyAlignment="1">
      <alignment horizontal="center" vertical="center"/>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7" xfId="0" applyFont="1" applyBorder="1" applyAlignment="1">
      <alignment horizontal="center" vertical="center"/>
    </xf>
    <xf numFmtId="0" fontId="18" fillId="0" borderId="0" xfId="0" applyFont="1" applyAlignment="1">
      <alignment horizontal="left"/>
    </xf>
    <xf numFmtId="0" fontId="21" fillId="0" borderId="21" xfId="0" applyFont="1" applyBorder="1" applyAlignment="1">
      <alignment horizontal="center" vertical="center"/>
    </xf>
    <xf numFmtId="0" fontId="20" fillId="0" borderId="20" xfId="0" applyFont="1" applyBorder="1" applyAlignment="1">
      <alignment horizontal="center" vertical="center"/>
    </xf>
    <xf numFmtId="0" fontId="21" fillId="0" borderId="20" xfId="0" applyFont="1" applyBorder="1" applyAlignment="1">
      <alignment vertical="center"/>
    </xf>
    <xf numFmtId="0" fontId="20" fillId="0" borderId="14" xfId="0" applyFont="1" applyBorder="1" applyAlignment="1">
      <alignment horizontal="center" vertical="center"/>
    </xf>
    <xf numFmtId="0" fontId="21" fillId="0" borderId="20" xfId="0" applyFont="1" applyBorder="1" applyAlignment="1">
      <alignment horizontal="left" vertical="center"/>
    </xf>
    <xf numFmtId="0" fontId="23" fillId="0" borderId="18" xfId="0" quotePrefix="1" applyFont="1" applyBorder="1" applyAlignment="1">
      <alignment horizontal="center" vertical="top"/>
    </xf>
    <xf numFmtId="0" fontId="23" fillId="0" borderId="11" xfId="0" quotePrefix="1" applyFont="1" applyBorder="1" applyAlignment="1">
      <alignment horizontal="center" vertical="top"/>
    </xf>
    <xf numFmtId="0" fontId="23" fillId="0" borderId="13" xfId="0" quotePrefix="1" applyFont="1" applyBorder="1" applyAlignment="1">
      <alignment horizontal="center" vertical="center" wrapText="1"/>
    </xf>
    <xf numFmtId="0" fontId="23" fillId="0" borderId="19" xfId="0" quotePrefix="1" applyFont="1" applyBorder="1" applyAlignment="1">
      <alignment horizontal="center" vertical="top"/>
    </xf>
    <xf numFmtId="0" fontId="18" fillId="0" borderId="0" xfId="0" applyFont="1" applyBorder="1" applyAlignment="1" applyProtection="1">
      <alignment horizontal="right"/>
      <protection locked="0"/>
    </xf>
    <xf numFmtId="0" fontId="24" fillId="0" borderId="14" xfId="0" applyFont="1" applyBorder="1"/>
    <xf numFmtId="0" fontId="21" fillId="0" borderId="20" xfId="0" applyFont="1" applyBorder="1" applyAlignment="1">
      <alignment vertical="center" wrapText="1"/>
    </xf>
    <xf numFmtId="0" fontId="20" fillId="0" borderId="0" xfId="0" applyFont="1" applyBorder="1" applyAlignment="1">
      <alignment horizontal="center"/>
    </xf>
    <xf numFmtId="0" fontId="14" fillId="0" borderId="0" xfId="0" applyFont="1"/>
    <xf numFmtId="0" fontId="16" fillId="0" borderId="17" xfId="0" quotePrefix="1" applyFont="1" applyBorder="1" applyAlignment="1">
      <alignment horizontal="center"/>
    </xf>
    <xf numFmtId="0" fontId="20" fillId="0" borderId="14" xfId="0" applyFont="1" applyBorder="1" applyAlignment="1" applyProtection="1">
      <alignment horizontal="center"/>
      <protection locked="0"/>
    </xf>
    <xf numFmtId="0" fontId="11" fillId="0" borderId="14" xfId="0" applyFont="1" applyBorder="1"/>
    <xf numFmtId="164" fontId="11" fillId="0" borderId="14" xfId="0" applyNumberFormat="1" applyFont="1" applyBorder="1" applyAlignment="1">
      <alignment horizontal="center"/>
    </xf>
    <xf numFmtId="164" fontId="24" fillId="0" borderId="14" xfId="0" applyNumberFormat="1" applyFont="1" applyBorder="1" applyAlignment="1">
      <alignment horizontal="center"/>
    </xf>
    <xf numFmtId="0" fontId="31" fillId="0" borderId="0" xfId="0" applyFont="1" applyProtection="1">
      <protection locked="0"/>
    </xf>
    <xf numFmtId="0" fontId="28" fillId="0" borderId="0" xfId="0" applyFont="1" applyBorder="1" applyAlignment="1">
      <alignment horizontal="left"/>
    </xf>
    <xf numFmtId="0" fontId="21" fillId="0" borderId="20" xfId="0" applyFont="1" applyFill="1" applyBorder="1" applyAlignment="1">
      <alignment horizontal="center" vertical="center"/>
    </xf>
    <xf numFmtId="0" fontId="21" fillId="0" borderId="21" xfId="0" applyFont="1" applyBorder="1" applyAlignment="1" applyProtection="1">
      <alignment vertical="center"/>
      <protection locked="0"/>
    </xf>
    <xf numFmtId="0" fontId="28" fillId="0" borderId="0" xfId="0" applyFont="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5" xfId="0" applyFont="1" applyBorder="1" applyAlignment="1" applyProtection="1">
      <alignment horizontal="center" vertical="center"/>
      <protection locked="0"/>
    </xf>
    <xf numFmtId="0" fontId="44" fillId="0" borderId="14" xfId="0" applyFont="1" applyBorder="1" applyAlignment="1">
      <alignment horizontal="center" vertical="center"/>
    </xf>
    <xf numFmtId="0" fontId="44" fillId="0" borderId="14" xfId="0" applyFont="1" applyBorder="1" applyAlignment="1" applyProtection="1">
      <alignment horizontal="center" vertical="center"/>
      <protection locked="0"/>
    </xf>
    <xf numFmtId="0" fontId="54" fillId="0" borderId="0" xfId="0" applyFont="1"/>
    <xf numFmtId="0" fontId="21" fillId="0" borderId="14" xfId="0" applyFont="1" applyBorder="1" applyAlignment="1">
      <alignment vertical="top" wrapText="1"/>
    </xf>
    <xf numFmtId="0" fontId="21" fillId="0" borderId="14" xfId="0" applyFont="1" applyBorder="1" applyAlignment="1">
      <alignment wrapText="1"/>
    </xf>
    <xf numFmtId="0" fontId="55" fillId="0" borderId="14" xfId="0" applyFont="1" applyBorder="1" applyAlignment="1">
      <alignment vertical="top" wrapText="1"/>
    </xf>
    <xf numFmtId="0" fontId="28" fillId="0" borderId="17" xfId="0" applyFont="1" applyBorder="1" applyAlignment="1">
      <alignment horizontal="center" vertical="center"/>
    </xf>
    <xf numFmtId="0" fontId="28" fillId="0" borderId="17" xfId="0" applyFont="1" applyBorder="1" applyAlignment="1" applyProtection="1">
      <alignment horizontal="center" vertical="center"/>
      <protection locked="0"/>
    </xf>
    <xf numFmtId="0" fontId="44" fillId="0" borderId="17" xfId="0" applyFont="1" applyBorder="1" applyAlignment="1">
      <alignment horizontal="center" vertical="center"/>
    </xf>
    <xf numFmtId="0" fontId="15" fillId="0" borderId="0" xfId="0" applyFont="1"/>
    <xf numFmtId="0" fontId="15" fillId="0" borderId="0" xfId="0" applyFont="1" applyProtection="1">
      <protection locked="0"/>
    </xf>
    <xf numFmtId="0" fontId="14" fillId="0" borderId="14" xfId="0" applyFont="1" applyBorder="1" applyAlignment="1" applyProtection="1">
      <alignment horizontal="center" vertical="center"/>
      <protection locked="0"/>
    </xf>
    <xf numFmtId="0" fontId="28" fillId="0" borderId="23" xfId="0" applyFont="1" applyBorder="1" applyAlignment="1">
      <alignment horizontal="center" vertical="center"/>
    </xf>
    <xf numFmtId="0" fontId="54" fillId="0" borderId="0" xfId="0" applyFont="1" applyProtection="1">
      <protection locked="0"/>
    </xf>
    <xf numFmtId="0" fontId="15" fillId="0" borderId="0" xfId="0" applyFont="1" applyAlignment="1" applyProtection="1">
      <alignment horizontal="right"/>
      <protection locked="0"/>
    </xf>
    <xf numFmtId="0" fontId="28" fillId="0" borderId="14" xfId="0" quotePrefix="1" applyFont="1" applyBorder="1" applyAlignment="1" applyProtection="1">
      <alignment horizontal="center" vertical="center"/>
      <protection locked="0"/>
    </xf>
    <xf numFmtId="0" fontId="44" fillId="0" borderId="0" xfId="0" applyFont="1" applyBorder="1" applyAlignment="1">
      <alignment horizontal="center" vertical="center"/>
    </xf>
    <xf numFmtId="0" fontId="15" fillId="0" borderId="0" xfId="0" applyFont="1" applyAlignment="1">
      <alignment horizontal="right"/>
    </xf>
    <xf numFmtId="0" fontId="15" fillId="0" borderId="12" xfId="0" applyFont="1" applyBorder="1" applyAlignment="1">
      <alignment horizontal="right"/>
    </xf>
    <xf numFmtId="0" fontId="15" fillId="0" borderId="0" xfId="0" applyFont="1" applyAlignment="1"/>
    <xf numFmtId="0" fontId="15" fillId="0" borderId="0" xfId="0" applyFont="1" applyAlignment="1">
      <alignment vertical="top"/>
    </xf>
    <xf numFmtId="0" fontId="15" fillId="0" borderId="0" xfId="0" applyFont="1" applyBorder="1" applyAlignment="1">
      <alignment horizontal="right"/>
    </xf>
    <xf numFmtId="0" fontId="15" fillId="0" borderId="0" xfId="0" applyFont="1" applyBorder="1"/>
    <xf numFmtId="0" fontId="15" fillId="0" borderId="0" xfId="0" applyFont="1" applyBorder="1" applyAlignment="1">
      <alignment horizontal="left"/>
    </xf>
    <xf numFmtId="0" fontId="15" fillId="0" borderId="0"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top"/>
    </xf>
    <xf numFmtId="0" fontId="58" fillId="0" borderId="0" xfId="0" applyFont="1"/>
    <xf numFmtId="0" fontId="15" fillId="0" borderId="0" xfId="0" applyFont="1" applyBorder="1" applyAlignment="1"/>
    <xf numFmtId="0" fontId="15" fillId="0" borderId="0" xfId="0" applyFont="1" applyAlignment="1" applyProtection="1">
      <protection locked="0"/>
    </xf>
    <xf numFmtId="0" fontId="15" fillId="0" borderId="0" xfId="0" applyFont="1" applyAlignment="1">
      <alignment horizontal="left" vertical="top"/>
    </xf>
    <xf numFmtId="0" fontId="4" fillId="0" borderId="16" xfId="0" applyFont="1" applyBorder="1" applyAlignment="1">
      <alignment horizontal="center" vertical="center"/>
    </xf>
    <xf numFmtId="0" fontId="48" fillId="0" borderId="0" xfId="0" applyFont="1" applyAlignment="1">
      <alignment horizontal="right"/>
    </xf>
    <xf numFmtId="0" fontId="17" fillId="0" borderId="0" xfId="0" applyFont="1" applyAlignment="1"/>
    <xf numFmtId="0" fontId="45" fillId="0" borderId="0" xfId="0" applyFont="1" applyAlignment="1">
      <alignment horizontal="right"/>
    </xf>
    <xf numFmtId="0" fontId="19" fillId="0" borderId="0" xfId="0" applyFont="1" applyBorder="1" applyAlignment="1">
      <alignment horizontal="center" vertical="top" wrapText="1"/>
    </xf>
    <xf numFmtId="0" fontId="19" fillId="0" borderId="0" xfId="0" applyFont="1" applyBorder="1" applyAlignment="1">
      <alignment horizontal="center" vertical="center"/>
    </xf>
    <xf numFmtId="0" fontId="0" fillId="0" borderId="20" xfId="0" applyBorder="1" applyAlignment="1" applyProtection="1">
      <alignment horizontal="center"/>
      <protection locked="0"/>
    </xf>
    <xf numFmtId="0" fontId="24" fillId="0" borderId="20" xfId="0" applyFont="1" applyBorder="1" applyAlignment="1">
      <alignment horizontal="center"/>
    </xf>
    <xf numFmtId="0" fontId="24" fillId="0" borderId="20" xfId="0" applyFont="1" applyBorder="1" applyAlignment="1" applyProtection="1">
      <alignment horizontal="center"/>
      <protection locked="0"/>
    </xf>
    <xf numFmtId="2" fontId="24" fillId="0" borderId="19" xfId="0" applyNumberFormat="1" applyFont="1" applyBorder="1" applyAlignment="1">
      <alignment horizontal="center" vertical="center"/>
    </xf>
    <xf numFmtId="0" fontId="18" fillId="0" borderId="19" xfId="0" applyFont="1" applyBorder="1" applyAlignment="1" applyProtection="1">
      <alignment horizontal="center" vertical="center"/>
      <protection locked="0"/>
    </xf>
    <xf numFmtId="0" fontId="44" fillId="0" borderId="20" xfId="0" applyFont="1" applyBorder="1" applyAlignment="1">
      <alignment horizontal="center" vertical="center"/>
    </xf>
    <xf numFmtId="0" fontId="3" fillId="0" borderId="20" xfId="0" applyFont="1" applyBorder="1" applyAlignment="1" applyProtection="1">
      <alignment horizontal="center" vertical="center"/>
      <protection locked="0"/>
    </xf>
    <xf numFmtId="0" fontId="0" fillId="0" borderId="17" xfId="0" quotePrefix="1" applyBorder="1" applyAlignment="1" applyProtection="1">
      <alignment horizontal="center" vertical="center"/>
      <protection locked="0"/>
    </xf>
    <xf numFmtId="0" fontId="28" fillId="0" borderId="0" xfId="0" applyFont="1" applyBorder="1" applyAlignment="1">
      <alignment horizontal="center" vertical="center"/>
    </xf>
    <xf numFmtId="0" fontId="18" fillId="0" borderId="22" xfId="0" applyFont="1" applyBorder="1" applyAlignment="1">
      <alignment horizontal="center" vertical="center" wrapText="1"/>
    </xf>
    <xf numFmtId="0" fontId="18" fillId="0" borderId="12" xfId="0" applyFont="1" applyBorder="1" applyAlignment="1">
      <alignment horizontal="center" vertical="center" wrapText="1"/>
    </xf>
    <xf numFmtId="0" fontId="32" fillId="0" borderId="0" xfId="0" applyFont="1" applyAlignment="1">
      <alignment horizontal="center"/>
    </xf>
    <xf numFmtId="0" fontId="33" fillId="0" borderId="0" xfId="0" applyFont="1" applyAlignment="1">
      <alignment horizontal="center"/>
    </xf>
    <xf numFmtId="0" fontId="28" fillId="0" borderId="0" xfId="0" applyFont="1" applyBorder="1" applyAlignment="1" applyProtection="1">
      <alignment horizontal="center" vertical="center"/>
      <protection locked="0"/>
    </xf>
    <xf numFmtId="0" fontId="0" fillId="0" borderId="11" xfId="0" quotePrefix="1" applyFill="1" applyBorder="1" applyAlignment="1">
      <alignment horizontal="center"/>
    </xf>
    <xf numFmtId="0" fontId="18" fillId="0" borderId="19" xfId="0" applyFont="1" applyBorder="1" applyAlignment="1">
      <alignment horizontal="center" vertical="center" wrapText="1"/>
    </xf>
    <xf numFmtId="0" fontId="23" fillId="0" borderId="19" xfId="0" quotePrefix="1" applyFont="1" applyFill="1" applyBorder="1" applyAlignment="1">
      <alignment horizontal="center" vertical="top"/>
    </xf>
    <xf numFmtId="0" fontId="0" fillId="0" borderId="22" xfId="0" applyBorder="1"/>
    <xf numFmtId="0" fontId="11" fillId="0" borderId="17" xfId="0" applyFont="1" applyBorder="1" applyAlignment="1">
      <alignment vertical="center"/>
    </xf>
    <xf numFmtId="0" fontId="0" fillId="0" borderId="17" xfId="0" quotePrefix="1" applyBorder="1" applyAlignment="1">
      <alignment horizontal="center" vertical="center"/>
    </xf>
    <xf numFmtId="0" fontId="21" fillId="0" borderId="14" xfId="0" applyFont="1" applyBorder="1" applyAlignment="1">
      <alignment vertical="center"/>
    </xf>
    <xf numFmtId="0" fontId="0" fillId="0" borderId="17" xfId="0" quotePrefix="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164" fontId="24" fillId="0" borderId="15" xfId="0" applyNumberFormat="1" applyFont="1" applyBorder="1" applyAlignment="1">
      <alignment horizontal="center" vertical="center"/>
    </xf>
    <xf numFmtId="164" fontId="11" fillId="0" borderId="20" xfId="0" applyNumberFormat="1" applyFont="1" applyBorder="1" applyAlignment="1">
      <alignment horizontal="center"/>
    </xf>
    <xf numFmtId="164" fontId="24" fillId="0" borderId="20" xfId="0" applyNumberFormat="1" applyFont="1" applyBorder="1" applyAlignment="1">
      <alignment horizontal="center"/>
    </xf>
    <xf numFmtId="164" fontId="3" fillId="0" borderId="20" xfId="0" applyNumberFormat="1" applyFont="1" applyBorder="1" applyAlignment="1">
      <alignment horizontal="center"/>
    </xf>
    <xf numFmtId="164" fontId="0" fillId="0" borderId="20" xfId="0" applyNumberFormat="1" applyBorder="1" applyAlignment="1">
      <alignment horizontal="center"/>
    </xf>
    <xf numFmtId="164" fontId="24" fillId="0" borderId="21" xfId="0" applyNumberFormat="1" applyFont="1" applyBorder="1" applyAlignment="1">
      <alignment horizontal="center" vertical="center"/>
    </xf>
    <xf numFmtId="2" fontId="28" fillId="0" borderId="0" xfId="0" applyNumberFormat="1" applyFont="1" applyBorder="1" applyAlignment="1" applyProtection="1">
      <alignment horizontal="center" vertical="center"/>
      <protection locked="0"/>
    </xf>
    <xf numFmtId="2" fontId="28" fillId="0" borderId="14" xfId="0" applyNumberFormat="1" applyFont="1" applyBorder="1" applyAlignment="1" applyProtection="1">
      <alignment horizontal="center" vertical="center"/>
      <protection locked="0"/>
    </xf>
    <xf numFmtId="2" fontId="28" fillId="0" borderId="17" xfId="0" applyNumberFormat="1" applyFont="1" applyBorder="1" applyAlignment="1" applyProtection="1">
      <alignment horizontal="center" vertical="center"/>
      <protection locked="0"/>
    </xf>
    <xf numFmtId="2" fontId="28" fillId="0" borderId="14" xfId="0" applyNumberFormat="1" applyFont="1" applyBorder="1" applyAlignment="1">
      <alignment horizontal="center" vertical="center"/>
    </xf>
    <xf numFmtId="2" fontId="24" fillId="0" borderId="20" xfId="0" applyNumberFormat="1" applyFont="1" applyBorder="1" applyAlignment="1" applyProtection="1">
      <alignment horizontal="center" vertical="center"/>
      <protection locked="0"/>
    </xf>
    <xf numFmtId="2" fontId="24" fillId="0" borderId="11" xfId="0" applyNumberFormat="1" applyFont="1" applyBorder="1" applyAlignment="1">
      <alignment horizontal="center" vertical="center"/>
    </xf>
    <xf numFmtId="2" fontId="24" fillId="0" borderId="13" xfId="0" applyNumberFormat="1" applyFont="1" applyBorder="1" applyAlignment="1">
      <alignment horizontal="center" vertical="center"/>
    </xf>
    <xf numFmtId="2" fontId="24" fillId="0" borderId="18" xfId="0" applyNumberFormat="1" applyFont="1" applyBorder="1" applyAlignment="1">
      <alignment horizontal="center" vertical="center"/>
    </xf>
    <xf numFmtId="0" fontId="28" fillId="0" borderId="22" xfId="0" applyFont="1" applyBorder="1" applyAlignment="1" applyProtection="1">
      <alignment vertical="center"/>
      <protection locked="0"/>
    </xf>
    <xf numFmtId="0" fontId="28" fillId="0" borderId="20" xfId="0" applyFont="1" applyBorder="1" applyAlignment="1" applyProtection="1">
      <alignment vertical="center"/>
      <protection locked="0"/>
    </xf>
    <xf numFmtId="0" fontId="21" fillId="0" borderId="20" xfId="0" applyFont="1" applyFill="1" applyBorder="1" applyAlignment="1" applyProtection="1">
      <alignment vertical="center"/>
      <protection locked="0"/>
    </xf>
    <xf numFmtId="0" fontId="28" fillId="0" borderId="20" xfId="0" applyFont="1" applyBorder="1" applyAlignment="1">
      <alignment horizontal="center" vertical="center"/>
    </xf>
    <xf numFmtId="0" fontId="28" fillId="0" borderId="20"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4" fillId="0" borderId="20" xfId="0" applyFont="1" applyBorder="1" applyAlignment="1">
      <alignment horizontal="center" vertical="center"/>
    </xf>
    <xf numFmtId="0" fontId="0" fillId="0" borderId="16" xfId="0" quotePrefix="1" applyBorder="1" applyAlignment="1">
      <alignment horizontal="center"/>
    </xf>
    <xf numFmtId="0" fontId="18" fillId="0" borderId="19" xfId="0" applyFont="1" applyBorder="1" applyAlignment="1" applyProtection="1">
      <alignment horizontal="center" vertical="center" wrapText="1"/>
      <protection locked="0"/>
    </xf>
    <xf numFmtId="164" fontId="0" fillId="0" borderId="0" xfId="0" quotePrefix="1" applyNumberFormat="1" applyBorder="1" applyAlignment="1" applyProtection="1">
      <alignment horizontal="center" vertical="center"/>
      <protection locked="0"/>
    </xf>
    <xf numFmtId="164" fontId="0" fillId="0" borderId="17" xfId="0" quotePrefix="1" applyNumberFormat="1" applyBorder="1" applyAlignment="1" applyProtection="1">
      <alignment horizontal="center" vertical="center"/>
      <protection locked="0"/>
    </xf>
    <xf numFmtId="16" fontId="42" fillId="0" borderId="20" xfId="0" quotePrefix="1" applyNumberFormat="1" applyFont="1" applyBorder="1" applyAlignment="1">
      <alignment horizontal="center" vertical="center"/>
    </xf>
    <xf numFmtId="0" fontId="62" fillId="0" borderId="0" xfId="0" applyFont="1" applyAlignment="1">
      <alignment horizontal="center" vertical="top"/>
    </xf>
    <xf numFmtId="0" fontId="63" fillId="0" borderId="0" xfId="0" applyFont="1" applyAlignment="1">
      <alignment vertical="top"/>
    </xf>
    <xf numFmtId="0" fontId="64" fillId="0" borderId="0" xfId="0" applyFont="1" applyAlignment="1"/>
    <xf numFmtId="0" fontId="63" fillId="0" borderId="0" xfId="0" applyFont="1" applyAlignment="1"/>
    <xf numFmtId="0" fontId="65" fillId="0" borderId="0" xfId="0" applyFont="1" applyAlignment="1">
      <alignment horizontal="center"/>
    </xf>
    <xf numFmtId="0" fontId="65" fillId="0" borderId="0" xfId="0" applyFont="1"/>
    <xf numFmtId="0" fontId="18" fillId="0" borderId="14" xfId="0" applyFont="1" applyBorder="1" applyAlignment="1">
      <alignment horizontal="center" vertical="center"/>
    </xf>
    <xf numFmtId="0" fontId="18" fillId="0" borderId="24" xfId="0" applyFont="1" applyBorder="1" applyAlignment="1">
      <alignment horizontal="center" vertical="center" wrapText="1"/>
    </xf>
    <xf numFmtId="0" fontId="18" fillId="0" borderId="24" xfId="0" applyFont="1" applyBorder="1" applyAlignment="1">
      <alignment horizontal="center" vertical="center"/>
    </xf>
    <xf numFmtId="0" fontId="13" fillId="0" borderId="0" xfId="0" applyFont="1" applyBorder="1" applyAlignment="1"/>
    <xf numFmtId="0" fontId="4" fillId="0" borderId="17" xfId="0" applyFont="1" applyBorder="1" applyAlignment="1">
      <alignment horizontal="center" vertical="center"/>
    </xf>
    <xf numFmtId="0" fontId="4" fillId="0" borderId="14" xfId="0" applyFont="1" applyBorder="1" applyAlignment="1">
      <alignment horizontal="center" vertical="center"/>
    </xf>
    <xf numFmtId="0" fontId="0" fillId="0" borderId="0" xfId="0" applyBorder="1" applyAlignment="1">
      <alignment vertical="top"/>
    </xf>
    <xf numFmtId="0" fontId="68" fillId="0" borderId="0" xfId="0" applyFont="1"/>
    <xf numFmtId="0" fontId="3" fillId="0" borderId="0" xfId="0" applyFont="1" applyBorder="1"/>
    <xf numFmtId="0" fontId="18" fillId="0" borderId="17" xfId="0" applyFont="1" applyBorder="1" applyAlignment="1">
      <alignment horizontal="center" vertical="center"/>
    </xf>
    <xf numFmtId="0" fontId="18" fillId="0" borderId="0" xfId="0" applyFont="1" applyBorder="1" applyAlignment="1">
      <alignment horizontal="center" vertical="center"/>
    </xf>
    <xf numFmtId="0" fontId="38" fillId="0" borderId="14" xfId="0" applyFont="1" applyBorder="1" applyAlignment="1">
      <alignment horizontal="center" vertical="center"/>
    </xf>
    <xf numFmtId="0" fontId="38" fillId="0" borderId="0" xfId="0" applyFont="1" applyBorder="1" applyAlignment="1">
      <alignment horizontal="center" vertical="center"/>
    </xf>
    <xf numFmtId="0" fontId="38" fillId="0" borderId="17" xfId="0" applyFont="1" applyBorder="1" applyAlignment="1">
      <alignment horizontal="center" vertical="center"/>
    </xf>
    <xf numFmtId="0" fontId="23" fillId="0" borderId="10" xfId="0" quotePrefix="1" applyFont="1" applyBorder="1" applyAlignment="1">
      <alignment horizontal="center" vertical="center"/>
    </xf>
    <xf numFmtId="0" fontId="66" fillId="0" borderId="0" xfId="0" applyFont="1" applyBorder="1" applyAlignment="1" applyProtection="1">
      <alignment horizontal="center"/>
      <protection locked="0"/>
    </xf>
    <xf numFmtId="0" fontId="13" fillId="0" borderId="0" xfId="0" applyFont="1" applyProtection="1">
      <protection locked="0"/>
    </xf>
    <xf numFmtId="0" fontId="13" fillId="0" borderId="0" xfId="0" applyFont="1" applyAlignment="1"/>
    <xf numFmtId="0" fontId="0" fillId="0" borderId="23" xfId="0" applyBorder="1" applyAlignment="1" applyProtection="1">
      <alignment vertical="center"/>
      <protection locked="0"/>
    </xf>
    <xf numFmtId="0" fontId="16" fillId="0" borderId="13" xfId="0" applyFont="1" applyBorder="1" applyAlignment="1">
      <alignment horizontal="center" vertical="center"/>
    </xf>
    <xf numFmtId="0" fontId="51" fillId="0" borderId="13" xfId="0" quotePrefix="1" applyFont="1" applyBorder="1" applyAlignment="1">
      <alignment horizontal="center" vertical="center" wrapText="1"/>
    </xf>
    <xf numFmtId="0" fontId="0" fillId="0" borderId="14" xfId="0" applyFill="1" applyBorder="1" applyAlignment="1">
      <alignment horizontal="center" vertical="center"/>
    </xf>
    <xf numFmtId="0" fontId="0" fillId="0" borderId="0" xfId="0" applyFill="1" applyBorder="1" applyAlignment="1" applyProtection="1">
      <alignment horizontal="center" vertical="center"/>
      <protection locked="0"/>
    </xf>
    <xf numFmtId="2" fontId="3" fillId="0" borderId="0" xfId="0" applyNumberFormat="1" applyFont="1" applyAlignment="1" applyProtection="1">
      <alignment horizontal="center" vertical="center"/>
      <protection locked="0"/>
    </xf>
    <xf numFmtId="2" fontId="3" fillId="0" borderId="20" xfId="0" applyNumberFormat="1" applyFont="1" applyBorder="1" applyAlignment="1" applyProtection="1">
      <alignment horizontal="center" vertical="center"/>
      <protection locked="0"/>
    </xf>
    <xf numFmtId="0" fontId="27" fillId="0" borderId="0" xfId="0" applyFont="1" applyBorder="1" applyAlignment="1">
      <alignment horizontal="center" vertical="center"/>
    </xf>
    <xf numFmtId="0" fontId="18" fillId="0" borderId="12" xfId="0" applyFont="1" applyBorder="1" applyAlignment="1">
      <alignment horizontal="center" vertical="center"/>
    </xf>
    <xf numFmtId="0" fontId="18" fillId="0" borderId="22" xfId="0" applyFont="1" applyBorder="1" applyAlignment="1">
      <alignment vertical="center"/>
    </xf>
    <xf numFmtId="0" fontId="67" fillId="0" borderId="0" xfId="0" applyFont="1" applyAlignment="1">
      <alignment horizontal="center" vertical="center"/>
    </xf>
    <xf numFmtId="0" fontId="0" fillId="0" borderId="24" xfId="0" applyBorder="1" applyAlignment="1">
      <alignment horizontal="center" vertical="center"/>
    </xf>
    <xf numFmtId="0" fontId="67" fillId="0" borderId="10" xfId="0" applyFont="1" applyBorder="1" applyAlignment="1">
      <alignment horizontal="center" vertical="center"/>
    </xf>
    <xf numFmtId="0" fontId="0" fillId="0" borderId="0" xfId="0" applyFill="1" applyBorder="1" applyAlignment="1">
      <alignment horizontal="center" vertical="center"/>
    </xf>
    <xf numFmtId="0" fontId="21" fillId="0" borderId="24" xfId="0" applyFont="1" applyBorder="1" applyAlignment="1">
      <alignment horizontal="center" vertical="center"/>
    </xf>
    <xf numFmtId="0" fontId="23" fillId="0" borderId="21" xfId="0" quotePrefix="1" applyFont="1" applyFill="1" applyBorder="1" applyAlignment="1">
      <alignment horizontal="center" vertical="center"/>
    </xf>
    <xf numFmtId="0" fontId="23" fillId="0" borderId="16" xfId="0" quotePrefix="1" applyFont="1" applyBorder="1" applyAlignment="1">
      <alignment horizontal="center" vertical="center"/>
    </xf>
    <xf numFmtId="0" fontId="16" fillId="0" borderId="20" xfId="0" applyFont="1" applyBorder="1" applyAlignment="1">
      <alignment horizontal="center" vertical="center"/>
    </xf>
    <xf numFmtId="0" fontId="27" fillId="0" borderId="20" xfId="0" applyFont="1" applyBorder="1" applyAlignment="1" applyProtection="1">
      <alignment horizontal="center" vertical="center"/>
      <protection locked="0"/>
    </xf>
    <xf numFmtId="0" fontId="21" fillId="0" borderId="14" xfId="0" applyFont="1" applyBorder="1" applyAlignment="1">
      <alignment horizontal="left" vertical="center"/>
    </xf>
    <xf numFmtId="0" fontId="0" fillId="0" borderId="20" xfId="0" applyFill="1" applyBorder="1" applyAlignment="1">
      <alignment horizontal="center" vertical="center"/>
    </xf>
    <xf numFmtId="0" fontId="4" fillId="0" borderId="10" xfId="0" applyFont="1" applyBorder="1" applyAlignment="1">
      <alignment horizontal="center" vertical="center"/>
    </xf>
    <xf numFmtId="0" fontId="4" fillId="0" borderId="21" xfId="0" applyFont="1" applyBorder="1" applyAlignment="1">
      <alignment horizontal="center" vertical="center"/>
    </xf>
    <xf numFmtId="1" fontId="23" fillId="0" borderId="18" xfId="0" quotePrefix="1" applyNumberFormat="1" applyFont="1" applyBorder="1" applyAlignment="1">
      <alignment horizontal="center" vertical="center"/>
    </xf>
    <xf numFmtId="0" fontId="4" fillId="0" borderId="20"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1" fontId="4" fillId="0" borderId="20" xfId="0" applyNumberFormat="1" applyFont="1" applyBorder="1" applyAlignment="1">
      <alignment horizontal="center" vertical="center"/>
    </xf>
    <xf numFmtId="0" fontId="4" fillId="0" borderId="21"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1" fontId="4" fillId="0" borderId="21" xfId="0" applyNumberFormat="1" applyFont="1" applyBorder="1" applyAlignment="1">
      <alignment horizontal="center" vertical="center"/>
    </xf>
    <xf numFmtId="0" fontId="30" fillId="0" borderId="19" xfId="0" quotePrefix="1" applyFont="1" applyBorder="1" applyAlignment="1">
      <alignment horizontal="center" vertical="center"/>
    </xf>
    <xf numFmtId="0" fontId="4" fillId="0" borderId="0"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18" fillId="0" borderId="19" xfId="0" applyFont="1" applyFill="1" applyBorder="1" applyAlignment="1">
      <alignment horizontal="center" vertical="center"/>
    </xf>
    <xf numFmtId="0" fontId="4" fillId="0" borderId="24"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71" fillId="0" borderId="0" xfId="0" applyFont="1" applyProtection="1">
      <protection locked="0"/>
    </xf>
    <xf numFmtId="0" fontId="71" fillId="0" borderId="10" xfId="0" applyFont="1" applyBorder="1" applyAlignment="1" applyProtection="1">
      <alignment vertical="center"/>
      <protection locked="0"/>
    </xf>
    <xf numFmtId="0" fontId="71" fillId="0" borderId="10" xfId="0" applyFont="1" applyBorder="1" applyProtection="1">
      <protection locked="0"/>
    </xf>
    <xf numFmtId="0" fontId="71" fillId="0" borderId="10" xfId="0" applyFont="1" applyBorder="1" applyAlignment="1" applyProtection="1">
      <alignment horizontal="right" vertical="center"/>
      <protection locked="0"/>
    </xf>
    <xf numFmtId="0" fontId="0" fillId="0" borderId="20" xfId="0" applyBorder="1" applyAlignment="1" applyProtection="1">
      <alignment horizontal="center" vertical="center"/>
    </xf>
    <xf numFmtId="0" fontId="28" fillId="0" borderId="14" xfId="0" applyFont="1" applyBorder="1" applyAlignment="1">
      <alignment horizontal="left" vertical="top" wrapText="1"/>
    </xf>
    <xf numFmtId="0" fontId="3" fillId="0" borderId="16" xfId="0" applyFont="1" applyBorder="1" applyAlignment="1" applyProtection="1">
      <alignment horizontal="center" vertical="center"/>
      <protection locked="0"/>
    </xf>
    <xf numFmtId="2" fontId="3" fillId="0" borderId="14" xfId="0" applyNumberFormat="1" applyFont="1" applyBorder="1" applyAlignment="1" applyProtection="1">
      <alignment horizontal="center" vertical="center"/>
      <protection locked="0"/>
    </xf>
    <xf numFmtId="2" fontId="24" fillId="0" borderId="11" xfId="0" applyNumberFormat="1" applyFont="1" applyBorder="1" applyAlignment="1" applyProtection="1">
      <alignment horizontal="center" vertical="center"/>
    </xf>
    <xf numFmtId="2" fontId="24" fillId="0" borderId="13" xfId="0" applyNumberFormat="1" applyFont="1" applyBorder="1" applyAlignment="1" applyProtection="1">
      <alignment horizontal="center" vertical="center"/>
    </xf>
    <xf numFmtId="165" fontId="0" fillId="0" borderId="0"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1" xfId="0" applyNumberFormat="1" applyBorder="1" applyAlignment="1">
      <alignment horizontal="center" vertical="center"/>
    </xf>
    <xf numFmtId="165" fontId="0" fillId="0" borderId="10" xfId="0" applyNumberFormat="1" applyBorder="1" applyAlignment="1">
      <alignment horizontal="center" vertical="center"/>
    </xf>
    <xf numFmtId="0" fontId="4" fillId="0" borderId="13" xfId="0" quotePrefix="1" applyFont="1" applyBorder="1" applyAlignment="1">
      <alignment horizontal="center" vertical="center"/>
    </xf>
    <xf numFmtId="0" fontId="67" fillId="0" borderId="0" xfId="0" applyFont="1" applyBorder="1" applyAlignment="1">
      <alignment horizontal="center" vertical="top" wrapText="1"/>
    </xf>
    <xf numFmtId="0" fontId="24" fillId="0" borderId="19" xfId="0" applyFont="1" applyBorder="1" applyAlignment="1">
      <alignment horizontal="center" vertical="center" wrapText="1"/>
    </xf>
    <xf numFmtId="0" fontId="29" fillId="0" borderId="11" xfId="0" applyFont="1" applyBorder="1" applyAlignment="1">
      <alignment horizontal="center" vertical="center"/>
    </xf>
    <xf numFmtId="0" fontId="29" fillId="0" borderId="18" xfId="0" applyFont="1" applyBorder="1" applyAlignment="1">
      <alignment horizontal="center" vertical="center"/>
    </xf>
    <xf numFmtId="0" fontId="29" fillId="0" borderId="13" xfId="0" applyFont="1" applyBorder="1" applyAlignment="1">
      <alignment horizontal="center" vertical="center"/>
    </xf>
    <xf numFmtId="0" fontId="2" fillId="0" borderId="0" xfId="0" applyFont="1" applyBorder="1" applyProtection="1">
      <protection locked="0"/>
    </xf>
    <xf numFmtId="0" fontId="4" fillId="0" borderId="0" xfId="0" applyFont="1" applyBorder="1" applyProtection="1">
      <protection locked="0"/>
    </xf>
    <xf numFmtId="0" fontId="67" fillId="0" borderId="0" xfId="0" applyFont="1" applyBorder="1" applyAlignment="1">
      <alignment horizontal="center" vertical="center"/>
    </xf>
    <xf numFmtId="0" fontId="13" fillId="0" borderId="0" xfId="0" applyFont="1" applyBorder="1" applyAlignment="1" applyProtection="1">
      <alignment horizontal="right"/>
      <protection locked="0"/>
    </xf>
    <xf numFmtId="0" fontId="13" fillId="0" borderId="0" xfId="0" applyFont="1" applyBorder="1" applyAlignment="1">
      <alignment horizontal="right" vertical="center"/>
    </xf>
    <xf numFmtId="0" fontId="37" fillId="0" borderId="0" xfId="0" applyFont="1" applyBorder="1" applyAlignment="1">
      <alignment horizontal="center"/>
    </xf>
    <xf numFmtId="0" fontId="31" fillId="0" borderId="0" xfId="0" applyFont="1" applyBorder="1" applyAlignment="1">
      <alignment horizontal="center"/>
    </xf>
    <xf numFmtId="0" fontId="30" fillId="0" borderId="0" xfId="0" quotePrefix="1" applyFont="1" applyBorder="1" applyAlignment="1">
      <alignment horizontal="center"/>
    </xf>
    <xf numFmtId="0" fontId="20" fillId="0" borderId="16" xfId="0" applyFont="1" applyBorder="1" applyAlignment="1">
      <alignment horizontal="center" vertical="center"/>
    </xf>
    <xf numFmtId="0" fontId="20" fillId="0" borderId="19" xfId="0" applyFont="1" applyBorder="1" applyAlignment="1">
      <alignment horizontal="center" vertical="center"/>
    </xf>
    <xf numFmtId="0" fontId="20" fillId="0" borderId="15" xfId="0" applyFont="1" applyBorder="1" applyAlignment="1">
      <alignment horizontal="center" vertical="center"/>
    </xf>
    <xf numFmtId="0" fontId="20" fillId="0" borderId="18" xfId="0" quotePrefix="1" applyFont="1" applyFill="1" applyBorder="1" applyAlignment="1">
      <alignment horizontal="center" vertical="center"/>
    </xf>
    <xf numFmtId="0" fontId="20" fillId="0" borderId="19" xfId="0" quotePrefix="1" applyFont="1" applyFill="1" applyBorder="1" applyAlignment="1">
      <alignment horizontal="center" vertical="center"/>
    </xf>
    <xf numFmtId="0" fontId="20" fillId="0" borderId="13" xfId="0" quotePrefix="1" applyFont="1" applyFill="1" applyBorder="1" applyAlignment="1">
      <alignment horizontal="center" vertical="center"/>
    </xf>
    <xf numFmtId="0" fontId="0" fillId="0" borderId="22" xfId="0" applyBorder="1" applyAlignment="1" applyProtection="1">
      <alignment horizontal="center" vertical="center"/>
      <protection locked="0"/>
    </xf>
    <xf numFmtId="0" fontId="67" fillId="0" borderId="0" xfId="0" applyFont="1" applyBorder="1" applyAlignment="1">
      <alignment horizontal="center" vertical="top"/>
    </xf>
    <xf numFmtId="0" fontId="13" fillId="0" borderId="0" xfId="0" applyFont="1" applyBorder="1"/>
    <xf numFmtId="0" fontId="45" fillId="0" borderId="0" xfId="0" quotePrefix="1" applyFont="1" applyBorder="1" applyAlignment="1">
      <alignment horizontal="center" vertical="top" wrapText="1"/>
    </xf>
    <xf numFmtId="0" fontId="0" fillId="0" borderId="0" xfId="0" applyBorder="1" applyAlignment="1">
      <alignment horizontal="right" vertical="center"/>
    </xf>
    <xf numFmtId="0" fontId="18" fillId="0" borderId="10"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5" fillId="0" borderId="0" xfId="0" applyNumberFormat="1" applyFont="1" applyFill="1" applyBorder="1" applyAlignment="1">
      <alignment horizontal="left"/>
    </xf>
    <xf numFmtId="0" fontId="15" fillId="0" borderId="0" xfId="0" applyFont="1" applyFill="1" applyBorder="1" applyAlignment="1">
      <alignment horizontal="right"/>
    </xf>
    <xf numFmtId="0" fontId="0" fillId="0" borderId="0" xfId="0" applyAlignment="1">
      <alignment wrapText="1"/>
    </xf>
    <xf numFmtId="0" fontId="15" fillId="0" borderId="0" xfId="0" applyFont="1" applyAlignment="1">
      <alignment vertical="top" wrapText="1"/>
    </xf>
    <xf numFmtId="0" fontId="45" fillId="0" borderId="0" xfId="0" applyFont="1" applyBorder="1" applyAlignment="1">
      <alignment horizontal="left" vertical="top" wrapText="1"/>
    </xf>
    <xf numFmtId="0" fontId="24" fillId="0" borderId="0" xfId="0" applyFont="1" applyBorder="1" applyAlignment="1">
      <alignment horizontal="center" vertical="center"/>
    </xf>
    <xf numFmtId="0" fontId="21" fillId="0" borderId="20" xfId="0" applyFont="1" applyBorder="1" applyAlignment="1" applyProtection="1">
      <alignment horizontal="left" vertical="center"/>
      <protection locked="0"/>
    </xf>
    <xf numFmtId="0" fontId="21" fillId="0" borderId="21" xfId="0" applyFont="1" applyBorder="1" applyAlignment="1" applyProtection="1">
      <alignment horizontal="left" vertical="center"/>
      <protection locked="0"/>
    </xf>
    <xf numFmtId="0" fontId="24" fillId="0" borderId="10"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2" fontId="23" fillId="0" borderId="13" xfId="0" quotePrefix="1" applyNumberFormat="1" applyFont="1" applyBorder="1" applyAlignment="1">
      <alignment horizontal="center" vertical="center"/>
    </xf>
    <xf numFmtId="1" fontId="24" fillId="0" borderId="19" xfId="0" applyNumberFormat="1" applyFont="1" applyBorder="1" applyAlignment="1" applyProtection="1">
      <alignment horizontal="center" vertical="center"/>
      <protection locked="0"/>
    </xf>
    <xf numFmtId="1" fontId="24" fillId="0" borderId="19" xfId="0" applyNumberFormat="1" applyFont="1" applyBorder="1" applyAlignment="1">
      <alignment horizontal="center" vertical="center"/>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0" fontId="23" fillId="0" borderId="20" xfId="0" quotePrefix="1" applyFont="1" applyBorder="1" applyAlignment="1">
      <alignment horizontal="center" vertical="center"/>
    </xf>
    <xf numFmtId="0" fontId="23" fillId="0" borderId="12" xfId="0" quotePrefix="1" applyFont="1" applyBorder="1" applyAlignment="1">
      <alignment horizontal="center" vertical="center"/>
    </xf>
    <xf numFmtId="0" fontId="28" fillId="0" borderId="22"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2" fontId="28" fillId="0" borderId="0" xfId="0" applyNumberFormat="1" applyFont="1" applyBorder="1" applyAlignment="1">
      <alignment horizontal="center" vertical="center"/>
    </xf>
    <xf numFmtId="0" fontId="16" fillId="0" borderId="20" xfId="0" applyFont="1" applyBorder="1" applyAlignment="1" applyProtection="1">
      <alignment horizontal="center" vertical="center"/>
      <protection locked="0"/>
    </xf>
    <xf numFmtId="17" fontId="28" fillId="0" borderId="20" xfId="0" quotePrefix="1" applyNumberFormat="1" applyFont="1" applyBorder="1" applyAlignment="1" applyProtection="1">
      <alignment horizontal="center" vertical="center"/>
      <protection locked="0"/>
    </xf>
    <xf numFmtId="0" fontId="24" fillId="0" borderId="21" xfId="0" applyFont="1" applyBorder="1" applyAlignment="1" applyProtection="1">
      <alignment horizontal="center" vertical="center"/>
      <protection locked="0"/>
    </xf>
    <xf numFmtId="16" fontId="24" fillId="0" borderId="19" xfId="0" quotePrefix="1" applyNumberFormat="1" applyFont="1" applyBorder="1" applyAlignment="1" applyProtection="1">
      <alignment horizontal="center" vertical="center"/>
      <protection locked="0"/>
    </xf>
    <xf numFmtId="0" fontId="28" fillId="0" borderId="22"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2" fontId="30" fillId="0" borderId="13" xfId="0" quotePrefix="1" applyNumberFormat="1" applyFont="1" applyBorder="1" applyAlignment="1">
      <alignment horizontal="center" vertical="center"/>
    </xf>
    <xf numFmtId="0" fontId="15" fillId="0" borderId="0" xfId="0" applyFont="1" applyAlignment="1" applyProtection="1">
      <alignment vertical="top"/>
      <protection locked="0"/>
    </xf>
    <xf numFmtId="0" fontId="0" fillId="0" borderId="17" xfId="0" applyBorder="1" applyAlignment="1">
      <alignment horizontal="left" vertical="center"/>
    </xf>
    <xf numFmtId="0" fontId="0" fillId="0" borderId="0" xfId="0" applyBorder="1" applyAlignment="1">
      <alignment horizontal="left" vertical="center"/>
    </xf>
    <xf numFmtId="0" fontId="28" fillId="0" borderId="0" xfId="0" applyFont="1" applyBorder="1" applyAlignment="1">
      <alignment horizontal="left" vertical="center"/>
    </xf>
    <xf numFmtId="0" fontId="28" fillId="0" borderId="14" xfId="0" applyFont="1" applyBorder="1" applyAlignment="1">
      <alignment horizontal="left" vertical="center"/>
    </xf>
    <xf numFmtId="0" fontId="21" fillId="0" borderId="14" xfId="0" applyFont="1" applyBorder="1" applyAlignment="1">
      <alignment horizontal="left" vertical="center" wrapText="1"/>
    </xf>
    <xf numFmtId="0" fontId="10" fillId="0" borderId="22" xfId="0" applyFont="1" applyBorder="1" applyAlignment="1">
      <alignment horizontal="left" vertical="center"/>
    </xf>
    <xf numFmtId="0" fontId="10" fillId="0" borderId="12" xfId="0" applyFont="1" applyBorder="1" applyAlignment="1">
      <alignment horizontal="left" vertical="center"/>
    </xf>
    <xf numFmtId="0" fontId="0" fillId="0" borderId="22" xfId="0" applyBorder="1" applyAlignment="1">
      <alignment vertical="center"/>
    </xf>
    <xf numFmtId="0" fontId="10" fillId="0" borderId="20" xfId="0" applyFont="1" applyBorder="1" applyAlignment="1">
      <alignment horizontal="left" vertical="center"/>
    </xf>
    <xf numFmtId="0" fontId="52" fillId="0" borderId="20" xfId="0" applyFont="1" applyBorder="1" applyAlignment="1">
      <alignment horizontal="center" vertical="center"/>
    </xf>
    <xf numFmtId="0" fontId="53" fillId="0" borderId="20" xfId="0" applyFont="1" applyBorder="1" applyAlignment="1">
      <alignment horizontal="left" vertical="center"/>
    </xf>
    <xf numFmtId="0" fontId="11" fillId="0" borderId="17" xfId="0" applyFont="1" applyBorder="1" applyAlignment="1">
      <alignment horizontal="center" vertical="center"/>
    </xf>
    <xf numFmtId="0" fontId="28" fillId="0" borderId="14" xfId="0" applyFont="1" applyBorder="1" applyAlignment="1">
      <alignment vertical="center"/>
    </xf>
    <xf numFmtId="0" fontId="0" fillId="0" borderId="0" xfId="0" applyAlignment="1">
      <alignment horizontal="right" vertical="center"/>
    </xf>
    <xf numFmtId="0" fontId="0" fillId="0" borderId="20" xfId="0" applyBorder="1" applyAlignment="1">
      <alignment horizontal="right" vertical="center"/>
    </xf>
    <xf numFmtId="0" fontId="24" fillId="0" borderId="14" xfId="0" applyFont="1" applyBorder="1" applyAlignment="1">
      <alignment vertical="center"/>
    </xf>
    <xf numFmtId="0" fontId="24" fillId="0" borderId="0" xfId="0" applyFont="1" applyAlignment="1">
      <alignment horizontal="center" vertical="center"/>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11" fillId="0" borderId="17" xfId="0" quotePrefix="1" applyFont="1" applyBorder="1" applyAlignment="1">
      <alignment horizontal="center" vertical="center"/>
    </xf>
    <xf numFmtId="0" fontId="0" fillId="0" borderId="0" xfId="0"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lignment vertical="center"/>
    </xf>
    <xf numFmtId="0" fontId="24" fillId="0" borderId="15" xfId="0" applyFont="1" applyBorder="1" applyAlignment="1">
      <alignment horizontal="left" vertical="center"/>
    </xf>
    <xf numFmtId="0" fontId="51" fillId="0" borderId="19" xfId="0" quotePrefix="1" applyFont="1" applyBorder="1" applyAlignment="1">
      <alignment horizontal="center" vertical="center" wrapText="1"/>
    </xf>
    <xf numFmtId="0" fontId="23" fillId="0" borderId="0" xfId="0" quotePrefix="1" applyFont="1" applyBorder="1" applyAlignment="1">
      <alignment horizontal="center" vertical="center"/>
    </xf>
    <xf numFmtId="0" fontId="21" fillId="0" borderId="0" xfId="0" applyFont="1" applyFill="1" applyBorder="1" applyAlignment="1">
      <alignment horizontal="left" vertical="center"/>
    </xf>
    <xf numFmtId="0" fontId="27" fillId="0" borderId="0" xfId="0" applyFont="1" applyAlignment="1">
      <alignment horizontal="center"/>
    </xf>
    <xf numFmtId="0" fontId="45" fillId="0" borderId="0" xfId="0" applyFont="1" applyBorder="1" applyAlignment="1">
      <alignment horizontal="left" vertical="top"/>
    </xf>
    <xf numFmtId="0" fontId="15" fillId="0" borderId="0" xfId="0" applyFont="1" applyAlignment="1">
      <alignment horizontal="right" vertical="top"/>
    </xf>
    <xf numFmtId="0" fontId="28" fillId="0" borderId="22" xfId="0" applyFont="1" applyBorder="1" applyAlignment="1">
      <alignment horizontal="center" vertical="center"/>
    </xf>
    <xf numFmtId="0" fontId="15" fillId="0" borderId="12" xfId="0" applyFont="1" applyBorder="1" applyAlignment="1" applyProtection="1">
      <alignment vertical="top"/>
      <protection locked="0"/>
    </xf>
    <xf numFmtId="0" fontId="15" fillId="0" borderId="0" xfId="0" applyFont="1" applyBorder="1" applyAlignment="1">
      <alignment horizontal="left" vertical="top"/>
    </xf>
    <xf numFmtId="0" fontId="16" fillId="0" borderId="17" xfId="0" quotePrefix="1" applyFont="1" applyBorder="1" applyAlignment="1">
      <alignment vertical="center"/>
    </xf>
    <xf numFmtId="0" fontId="76" fillId="0" borderId="0" xfId="0" applyFont="1" applyAlignment="1">
      <alignment horizontal="center" vertical="center" wrapText="1"/>
    </xf>
    <xf numFmtId="0" fontId="15" fillId="0" borderId="20" xfId="0" applyFont="1" applyBorder="1" applyAlignment="1">
      <alignment horizontal="center"/>
    </xf>
    <xf numFmtId="0" fontId="58" fillId="0" borderId="0" xfId="0" applyFont="1" applyProtection="1">
      <protection locked="0"/>
    </xf>
    <xf numFmtId="0" fontId="16" fillId="0" borderId="0" xfId="0" applyFont="1" applyFill="1" applyBorder="1" applyAlignment="1">
      <alignment horizontal="left"/>
    </xf>
    <xf numFmtId="0" fontId="45" fillId="0" borderId="12" xfId="0" applyFont="1" applyBorder="1" applyAlignment="1">
      <alignment horizontal="center" vertical="top"/>
    </xf>
    <xf numFmtId="0" fontId="45" fillId="0" borderId="0" xfId="0" applyFont="1" applyBorder="1" applyAlignment="1">
      <alignment horizontal="center" vertical="top"/>
    </xf>
    <xf numFmtId="0" fontId="77" fillId="0" borderId="16" xfId="0" applyFont="1" applyBorder="1" applyAlignment="1" applyProtection="1">
      <alignment vertical="center"/>
      <protection locked="0"/>
    </xf>
    <xf numFmtId="0" fontId="16" fillId="0" borderId="20" xfId="0" applyFont="1" applyBorder="1" applyAlignment="1">
      <alignment horizontal="center" vertical="center" wrapText="1"/>
    </xf>
    <xf numFmtId="0" fontId="11" fillId="0" borderId="20" xfId="0" applyFont="1" applyBorder="1" applyAlignment="1">
      <alignment horizontal="center" vertical="center"/>
    </xf>
    <xf numFmtId="0" fontId="11" fillId="0" borderId="21" xfId="0" applyFont="1" applyBorder="1" applyAlignment="1">
      <alignment horizontal="center" vertical="center"/>
    </xf>
    <xf numFmtId="0" fontId="3" fillId="0" borderId="15" xfId="0" applyFont="1" applyBorder="1" applyAlignment="1">
      <alignment horizontal="center" vertical="center"/>
    </xf>
    <xf numFmtId="0" fontId="3" fillId="0" borderId="0" xfId="0" quotePrefix="1" applyFont="1" applyFill="1" applyBorder="1" applyAlignment="1">
      <alignment horizontal="center" vertical="center"/>
    </xf>
    <xf numFmtId="0" fontId="45" fillId="0" borderId="12" xfId="0" applyFont="1" applyBorder="1" applyAlignment="1">
      <alignment horizontal="left" vertical="top"/>
    </xf>
    <xf numFmtId="167" fontId="0" fillId="0" borderId="22" xfId="0" quotePrefix="1" applyNumberFormat="1" applyBorder="1" applyAlignment="1">
      <alignment horizontal="center" vertical="center"/>
    </xf>
    <xf numFmtId="167" fontId="0" fillId="0" borderId="20" xfId="0" quotePrefix="1" applyNumberFormat="1" applyBorder="1" applyAlignment="1">
      <alignment horizontal="center" vertical="center"/>
    </xf>
    <xf numFmtId="0" fontId="16" fillId="0" borderId="20"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24" fillId="0" borderId="2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3" fillId="0" borderId="14" xfId="0" quotePrefix="1" applyFont="1" applyBorder="1" applyAlignment="1">
      <alignment horizontal="center" vertical="center"/>
    </xf>
    <xf numFmtId="0" fontId="27" fillId="0" borderId="20" xfId="0" applyFont="1" applyBorder="1" applyAlignment="1">
      <alignment horizontal="center" vertical="center"/>
    </xf>
    <xf numFmtId="167" fontId="0" fillId="0" borderId="21" xfId="0" quotePrefix="1" applyNumberFormat="1" applyBorder="1" applyAlignment="1">
      <alignment horizontal="center" vertical="center"/>
    </xf>
    <xf numFmtId="1" fontId="9" fillId="0" borderId="0" xfId="0" applyNumberFormat="1" applyFont="1" applyBorder="1" applyAlignment="1">
      <alignment horizontal="center" vertical="center" wrapText="1"/>
    </xf>
    <xf numFmtId="0" fontId="3" fillId="0" borderId="21" xfId="0" applyFont="1" applyBorder="1" applyAlignment="1">
      <alignment horizontal="center" vertical="center"/>
    </xf>
    <xf numFmtId="0" fontId="4" fillId="0" borderId="20" xfId="0" applyFont="1" applyFill="1" applyBorder="1" applyAlignment="1">
      <alignment horizontal="center" vertical="center"/>
    </xf>
    <xf numFmtId="0" fontId="4" fillId="0" borderId="0" xfId="0" applyFont="1" applyAlignment="1">
      <alignment horizontal="center" vertical="center" textRotation="180"/>
    </xf>
    <xf numFmtId="0" fontId="15" fillId="0" borderId="13" xfId="0" applyFont="1" applyBorder="1" applyAlignment="1">
      <alignment horizontal="center" vertical="center"/>
    </xf>
    <xf numFmtId="0" fontId="15" fillId="0" borderId="19" xfId="0" applyFont="1" applyBorder="1" applyAlignment="1">
      <alignment horizontal="center" vertical="center"/>
    </xf>
    <xf numFmtId="0" fontId="0" fillId="0" borderId="21" xfId="0" quotePrefix="1" applyBorder="1" applyAlignment="1">
      <alignment horizontal="center" vertical="center"/>
    </xf>
    <xf numFmtId="0" fontId="0" fillId="0" borderId="15" xfId="0" quotePrefix="1" applyBorder="1" applyAlignment="1">
      <alignment horizontal="center" vertical="center"/>
    </xf>
    <xf numFmtId="0" fontId="13" fillId="0" borderId="0" xfId="0" applyFont="1" applyAlignment="1">
      <alignment horizontal="left"/>
    </xf>
    <xf numFmtId="0" fontId="24" fillId="0" borderId="16" xfId="0" applyFont="1"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23" fillId="0" borderId="19" xfId="0" quotePrefix="1" applyFont="1" applyBorder="1" applyAlignment="1" applyProtection="1">
      <alignment horizontal="center" vertical="center"/>
      <protection locked="0"/>
    </xf>
    <xf numFmtId="0" fontId="23" fillId="0" borderId="13" xfId="0" quotePrefix="1" applyFont="1" applyBorder="1" applyAlignment="1" applyProtection="1">
      <alignment horizontal="center" vertical="center"/>
      <protection locked="0"/>
    </xf>
    <xf numFmtId="0" fontId="23" fillId="0" borderId="11" xfId="0" quotePrefix="1" applyFont="1" applyBorder="1" applyAlignment="1" applyProtection="1">
      <alignment horizontal="center" vertical="center"/>
      <protection locked="0"/>
    </xf>
    <xf numFmtId="0" fontId="28" fillId="0" borderId="20" xfId="0" applyFont="1" applyBorder="1" applyAlignment="1" applyProtection="1">
      <alignment vertical="center" wrapText="1"/>
      <protection locked="0"/>
    </xf>
    <xf numFmtId="0" fontId="17" fillId="0" borderId="20" xfId="0" applyFont="1" applyBorder="1" applyAlignment="1" applyProtection="1">
      <alignment vertical="center"/>
      <protection locked="0"/>
    </xf>
    <xf numFmtId="0" fontId="17" fillId="0" borderId="20" xfId="0" applyFont="1" applyFill="1" applyBorder="1" applyAlignment="1" applyProtection="1">
      <alignment vertical="center"/>
      <protection locked="0"/>
    </xf>
    <xf numFmtId="0" fontId="0" fillId="0" borderId="21" xfId="0" applyBorder="1" applyAlignment="1" applyProtection="1">
      <alignment horizontal="center" vertical="center"/>
    </xf>
    <xf numFmtId="0" fontId="18" fillId="0" borderId="10"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8" fillId="0" borderId="22" xfId="0" applyFont="1" applyBorder="1" applyAlignment="1" applyProtection="1">
      <alignment vertical="center" wrapText="1"/>
      <protection locked="0"/>
    </xf>
    <xf numFmtId="0" fontId="21" fillId="0" borderId="17" xfId="0" applyFont="1" applyBorder="1" applyAlignment="1" applyProtection="1">
      <alignment vertical="center"/>
      <protection locked="0"/>
    </xf>
    <xf numFmtId="0" fontId="18" fillId="0" borderId="12" xfId="0" applyFont="1" applyBorder="1" applyAlignment="1" applyProtection="1">
      <alignment horizontal="center" vertical="center"/>
      <protection locked="0"/>
    </xf>
    <xf numFmtId="0" fontId="18" fillId="0" borderId="22"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22" fillId="0" borderId="19" xfId="0" quotePrefix="1" applyFont="1" applyBorder="1" applyAlignment="1" applyProtection="1">
      <alignment horizontal="center" vertical="center"/>
      <protection locked="0"/>
    </xf>
    <xf numFmtId="0" fontId="22" fillId="0" borderId="13" xfId="0" quotePrefix="1" applyFont="1" applyBorder="1" applyAlignment="1" applyProtection="1">
      <alignment horizontal="center" vertical="center"/>
      <protection locked="0"/>
    </xf>
    <xf numFmtId="0" fontId="22" fillId="0" borderId="11" xfId="0" quotePrefix="1" applyFont="1" applyBorder="1" applyAlignment="1" applyProtection="1">
      <alignment horizontal="center" vertical="center"/>
      <protection locked="0"/>
    </xf>
    <xf numFmtId="0" fontId="66" fillId="0" borderId="20" xfId="0" applyFont="1" applyBorder="1" applyAlignment="1" applyProtection="1">
      <alignment horizontal="center" vertical="center"/>
      <protection locked="0"/>
    </xf>
    <xf numFmtId="0" fontId="66" fillId="0" borderId="14" xfId="0" applyFont="1" applyBorder="1" applyAlignment="1" applyProtection="1">
      <alignment horizontal="center" vertical="center"/>
      <protection locked="0"/>
    </xf>
    <xf numFmtId="0" fontId="28" fillId="0" borderId="17" xfId="0" applyFont="1" applyBorder="1" applyAlignment="1" applyProtection="1">
      <alignment vertical="center" wrapText="1"/>
      <protection locked="0"/>
    </xf>
    <xf numFmtId="0" fontId="27" fillId="0" borderId="22" xfId="0" applyFont="1" applyBorder="1" applyAlignment="1" applyProtection="1">
      <alignment horizontal="center" vertical="center"/>
      <protection locked="0"/>
    </xf>
    <xf numFmtId="0" fontId="72" fillId="0" borderId="20" xfId="0" applyFont="1" applyBorder="1" applyAlignment="1" applyProtection="1">
      <alignment horizontal="center" vertical="center"/>
      <protection locked="0"/>
    </xf>
    <xf numFmtId="0" fontId="72" fillId="0" borderId="0" xfId="0" applyFont="1" applyBorder="1" applyAlignment="1" applyProtection="1">
      <alignment horizontal="center" vertical="center"/>
      <protection locked="0"/>
    </xf>
    <xf numFmtId="0" fontId="28" fillId="0" borderId="17" xfId="0" applyFont="1" applyBorder="1" applyAlignment="1" applyProtection="1">
      <alignment vertical="center"/>
      <protection locked="0"/>
    </xf>
    <xf numFmtId="0" fontId="21" fillId="0" borderId="17" xfId="0" applyFont="1" applyFill="1" applyBorder="1" applyAlignment="1" applyProtection="1">
      <alignment vertical="center"/>
      <protection locked="0"/>
    </xf>
    <xf numFmtId="0" fontId="27" fillId="0" borderId="17" xfId="0" applyFont="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58" fillId="0" borderId="0" xfId="0" applyFont="1" applyAlignment="1" applyProtection="1">
      <protection locked="0"/>
    </xf>
    <xf numFmtId="0" fontId="15" fillId="0" borderId="0" xfId="0" applyFont="1" applyAlignment="1" applyProtection="1">
      <alignment horizontal="left" vertical="top"/>
      <protection locked="0"/>
    </xf>
    <xf numFmtId="0" fontId="28" fillId="0" borderId="23" xfId="0" applyFont="1" applyBorder="1" applyAlignment="1" applyProtection="1">
      <alignment horizontal="center" vertical="center"/>
      <protection locked="0"/>
    </xf>
    <xf numFmtId="0" fontId="4" fillId="0" borderId="15" xfId="0" applyFont="1" applyBorder="1" applyAlignment="1">
      <alignment horizontal="center" vertical="center"/>
    </xf>
    <xf numFmtId="0" fontId="28" fillId="0" borderId="17" xfId="0" applyFont="1" applyBorder="1" applyAlignment="1">
      <alignment vertical="center"/>
    </xf>
    <xf numFmtId="0" fontId="11" fillId="0" borderId="14" xfId="0" applyFont="1" applyBorder="1" applyAlignment="1">
      <alignment vertical="center"/>
    </xf>
    <xf numFmtId="0" fontId="24" fillId="0" borderId="17" xfId="0" applyFont="1" applyBorder="1" applyAlignment="1">
      <alignment horizontal="center" vertical="center"/>
    </xf>
    <xf numFmtId="0" fontId="3" fillId="0" borderId="14" xfId="0" applyFont="1" applyBorder="1" applyAlignment="1">
      <alignment vertical="center"/>
    </xf>
    <xf numFmtId="164" fontId="24" fillId="0" borderId="20" xfId="0" applyNumberFormat="1" applyFont="1" applyBorder="1" applyAlignment="1">
      <alignment horizontal="center" vertical="center"/>
    </xf>
    <xf numFmtId="0" fontId="0" fillId="0" borderId="14" xfId="0" applyBorder="1" applyAlignment="1">
      <alignment vertical="center"/>
    </xf>
    <xf numFmtId="164" fontId="24" fillId="0" borderId="17" xfId="0" applyNumberFormat="1" applyFont="1" applyBorder="1" applyAlignment="1">
      <alignment horizontal="center" vertical="center"/>
    </xf>
    <xf numFmtId="164" fontId="0" fillId="0" borderId="20" xfId="0" applyNumberFormat="1" applyBorder="1" applyAlignment="1">
      <alignment horizontal="center" vertical="center"/>
    </xf>
    <xf numFmtId="0" fontId="25" fillId="0" borderId="16" xfId="0" applyFont="1" applyBorder="1" applyAlignment="1">
      <alignment vertical="center"/>
    </xf>
    <xf numFmtId="0" fontId="25" fillId="0" borderId="15" xfId="0" applyFont="1" applyBorder="1" applyAlignment="1">
      <alignment vertical="center"/>
    </xf>
    <xf numFmtId="0" fontId="28" fillId="0" borderId="23" xfId="0" applyFont="1" applyBorder="1" applyAlignment="1">
      <alignment vertical="center"/>
    </xf>
    <xf numFmtId="0" fontId="16" fillId="0" borderId="17" xfId="0" quotePrefix="1" applyFont="1" applyBorder="1" applyAlignment="1">
      <alignment horizontal="center" vertical="center"/>
    </xf>
    <xf numFmtId="0" fontId="16" fillId="0" borderId="17" xfId="0" applyFont="1" applyBorder="1" applyAlignment="1">
      <alignment vertical="center"/>
    </xf>
    <xf numFmtId="0" fontId="14" fillId="0" borderId="14" xfId="0" applyFont="1" applyBorder="1" applyAlignment="1">
      <alignment vertical="center"/>
    </xf>
    <xf numFmtId="0" fontId="14" fillId="0" borderId="17" xfId="0" applyFont="1" applyBorder="1" applyAlignment="1">
      <alignment horizontal="center" vertical="center"/>
    </xf>
    <xf numFmtId="0" fontId="14" fillId="0" borderId="20" xfId="0" applyFont="1" applyBorder="1" applyAlignment="1">
      <alignment horizontal="center" vertical="center"/>
    </xf>
    <xf numFmtId="0" fontId="38" fillId="0" borderId="10" xfId="0" applyFont="1" applyBorder="1" applyAlignment="1">
      <alignment horizontal="center" vertical="center"/>
    </xf>
    <xf numFmtId="0" fontId="13" fillId="0" borderId="19" xfId="0" applyFont="1" applyBorder="1" applyAlignment="1">
      <alignment horizontal="center" vertical="center"/>
    </xf>
    <xf numFmtId="0" fontId="38" fillId="0" borderId="16" xfId="0" applyFont="1" applyBorder="1" applyAlignment="1">
      <alignment horizontal="center" vertical="center"/>
    </xf>
    <xf numFmtId="0" fontId="13" fillId="0" borderId="22" xfId="0" applyFont="1" applyBorder="1" applyAlignment="1">
      <alignment horizontal="center" vertical="center"/>
    </xf>
    <xf numFmtId="0" fontId="15" fillId="0" borderId="0" xfId="0" applyFont="1" applyBorder="1" applyAlignment="1">
      <alignment horizontal="center" vertical="top"/>
    </xf>
    <xf numFmtId="0" fontId="57" fillId="0" borderId="22" xfId="0" applyFont="1" applyBorder="1" applyAlignment="1">
      <alignment horizontal="center" vertical="center"/>
    </xf>
    <xf numFmtId="0" fontId="9" fillId="0" borderId="12" xfId="0" applyFont="1" applyBorder="1" applyAlignment="1" applyProtection="1">
      <alignment horizontal="center" vertical="center"/>
      <protection locked="0"/>
    </xf>
    <xf numFmtId="2" fontId="9" fillId="0" borderId="22" xfId="0" applyNumberFormat="1" applyFont="1" applyBorder="1" applyAlignment="1">
      <alignment horizontal="center" vertical="center" wrapText="1"/>
    </xf>
    <xf numFmtId="0" fontId="9" fillId="0" borderId="12" xfId="0" quotePrefix="1" applyFont="1" applyBorder="1" applyAlignment="1" applyProtection="1">
      <alignment horizontal="center" vertical="center"/>
      <protection locked="0"/>
    </xf>
    <xf numFmtId="0" fontId="9" fillId="0" borderId="12" xfId="0" applyFont="1" applyBorder="1" applyAlignment="1">
      <alignment horizontal="center" vertical="center"/>
    </xf>
    <xf numFmtId="2" fontId="9" fillId="0" borderId="22" xfId="0" applyNumberFormat="1" applyFont="1" applyBorder="1" applyAlignment="1">
      <alignment horizontal="center" vertical="center"/>
    </xf>
    <xf numFmtId="0" fontId="80" fillId="0" borderId="20" xfId="0" applyFont="1" applyBorder="1" applyAlignment="1">
      <alignment horizontal="center" vertical="center"/>
    </xf>
    <xf numFmtId="2" fontId="9" fillId="0" borderId="20" xfId="0" applyNumberFormat="1" applyFont="1" applyBorder="1" applyAlignment="1">
      <alignment horizontal="center" vertical="center" wrapText="1"/>
    </xf>
    <xf numFmtId="2" fontId="9" fillId="0" borderId="20" xfId="0" applyNumberFormat="1" applyFont="1" applyBorder="1" applyAlignment="1">
      <alignment horizontal="center" vertical="center"/>
    </xf>
    <xf numFmtId="0" fontId="57" fillId="0" borderId="20" xfId="0" applyFont="1" applyBorder="1" applyAlignment="1">
      <alignment horizontal="center" vertical="center"/>
    </xf>
    <xf numFmtId="0" fontId="9" fillId="0" borderId="0" xfId="0" quotePrefix="1" applyFont="1" applyBorder="1" applyAlignment="1" applyProtection="1">
      <alignment horizontal="center" vertical="center"/>
      <protection locked="0"/>
    </xf>
    <xf numFmtId="0" fontId="80" fillId="0" borderId="21" xfId="0" applyFont="1" applyBorder="1" applyAlignment="1">
      <alignment horizontal="center" vertical="center"/>
    </xf>
    <xf numFmtId="0" fontId="9" fillId="0" borderId="10" xfId="0" applyFont="1" applyBorder="1" applyAlignment="1" applyProtection="1">
      <alignment horizontal="center" vertical="center"/>
      <protection locked="0"/>
    </xf>
    <xf numFmtId="2" fontId="9" fillId="0" borderId="21" xfId="0" applyNumberFormat="1" applyFont="1" applyBorder="1" applyAlignment="1">
      <alignment horizontal="center" vertical="center" wrapText="1"/>
    </xf>
    <xf numFmtId="0" fontId="9" fillId="0" borderId="10" xfId="0" quotePrefix="1" applyFont="1" applyBorder="1" applyAlignment="1" applyProtection="1">
      <alignment horizontal="center" vertical="center"/>
      <protection locked="0"/>
    </xf>
    <xf numFmtId="0" fontId="9" fillId="0" borderId="10" xfId="0" applyFont="1" applyBorder="1" applyAlignment="1">
      <alignment horizontal="center" vertical="center"/>
    </xf>
    <xf numFmtId="2" fontId="9" fillId="0" borderId="21" xfId="0" applyNumberFormat="1" applyFont="1" applyBorder="1" applyAlignment="1">
      <alignment horizontal="center" vertical="center"/>
    </xf>
    <xf numFmtId="0" fontId="3" fillId="0" borderId="19" xfId="0" applyFont="1" applyBorder="1" applyAlignment="1">
      <alignment horizontal="center" vertical="center"/>
    </xf>
    <xf numFmtId="0" fontId="15" fillId="0" borderId="21" xfId="0" applyFont="1" applyBorder="1" applyAlignment="1">
      <alignment horizontal="center"/>
    </xf>
    <xf numFmtId="0" fontId="15" fillId="0" borderId="20" xfId="0" quotePrefix="1" applyFont="1" applyBorder="1" applyAlignment="1">
      <alignment horizontal="center"/>
    </xf>
    <xf numFmtId="0" fontId="23" fillId="0" borderId="22" xfId="0" quotePrefix="1" applyFont="1" applyBorder="1" applyAlignment="1">
      <alignment horizontal="center" vertical="center"/>
    </xf>
    <xf numFmtId="2" fontId="4" fillId="0" borderId="20" xfId="0" applyNumberFormat="1" applyFont="1" applyBorder="1" applyAlignment="1">
      <alignment horizontal="center" vertical="center"/>
    </xf>
    <xf numFmtId="164" fontId="3" fillId="0" borderId="20" xfId="0" applyNumberFormat="1" applyFont="1" applyBorder="1" applyAlignment="1">
      <alignment horizontal="center" vertical="center"/>
    </xf>
    <xf numFmtId="0" fontId="21" fillId="0" borderId="16" xfId="0" applyFont="1" applyBorder="1" applyAlignment="1">
      <alignment horizontal="center" vertical="center"/>
    </xf>
    <xf numFmtId="0" fontId="20" fillId="0" borderId="0" xfId="0" applyFont="1"/>
    <xf numFmtId="0" fontId="18" fillId="0" borderId="11" xfId="0" applyFont="1" applyFill="1" applyBorder="1" applyAlignment="1">
      <alignment horizontal="center" vertical="center"/>
    </xf>
    <xf numFmtId="0" fontId="28" fillId="0" borderId="15" xfId="0" applyFont="1" applyBorder="1" applyAlignment="1">
      <alignment horizontal="left" vertical="center" wrapText="1"/>
    </xf>
    <xf numFmtId="0" fontId="21" fillId="0" borderId="14" xfId="0" applyFont="1" applyBorder="1" applyAlignment="1" applyProtection="1">
      <alignment horizontal="center" vertical="center"/>
      <protection locked="0"/>
    </xf>
    <xf numFmtId="0" fontId="49" fillId="0" borderId="19" xfId="0" quotePrefix="1" applyFont="1" applyBorder="1" applyAlignment="1" applyProtection="1">
      <alignment horizontal="center" vertical="center"/>
      <protection locked="0"/>
    </xf>
    <xf numFmtId="0" fontId="49" fillId="0" borderId="11" xfId="0" quotePrefix="1" applyFont="1" applyBorder="1" applyAlignment="1" applyProtection="1">
      <alignment horizontal="center" vertical="center"/>
      <protection locked="0"/>
    </xf>
    <xf numFmtId="0" fontId="0" fillId="0" borderId="0" xfId="0" applyBorder="1" applyAlignment="1" applyProtection="1">
      <alignment horizontal="center" vertical="center"/>
    </xf>
    <xf numFmtId="0" fontId="4" fillId="0" borderId="0" xfId="0" applyFont="1" applyBorder="1" applyAlignment="1" applyProtection="1">
      <alignment horizontal="center" vertical="center"/>
    </xf>
    <xf numFmtId="0" fontId="4" fillId="0" borderId="20" xfId="0" applyFont="1" applyBorder="1" applyAlignment="1" applyProtection="1">
      <alignment horizontal="center" vertical="center"/>
    </xf>
    <xf numFmtId="0" fontId="18" fillId="0" borderId="23" xfId="0" applyFont="1" applyBorder="1" applyAlignment="1">
      <alignment horizontal="center" vertical="center" wrapText="1"/>
    </xf>
    <xf numFmtId="0" fontId="18" fillId="0" borderId="20" xfId="0" applyFont="1" applyBorder="1" applyAlignment="1" applyProtection="1">
      <alignment horizontal="center" vertical="center" wrapText="1"/>
      <protection locked="0"/>
    </xf>
    <xf numFmtId="0" fontId="35" fillId="0" borderId="0" xfId="0" applyFont="1" applyAlignment="1">
      <alignment horizontal="right" vertical="center"/>
    </xf>
    <xf numFmtId="0" fontId="45" fillId="0" borderId="0" xfId="0" quotePrefix="1" applyFont="1" applyBorder="1" applyAlignment="1">
      <alignment horizontal="center" vertical="top"/>
    </xf>
    <xf numFmtId="0" fontId="81" fillId="0" borderId="0" xfId="0" applyFont="1" applyBorder="1" applyAlignment="1">
      <alignment horizontal="center" vertical="center" wrapText="1"/>
    </xf>
    <xf numFmtId="0" fontId="81" fillId="0" borderId="0" xfId="0" applyFont="1" applyBorder="1" applyAlignment="1">
      <alignment horizontal="center" vertical="center"/>
    </xf>
    <xf numFmtId="3" fontId="82" fillId="0" borderId="0" xfId="0" applyNumberFormat="1" applyFont="1"/>
    <xf numFmtId="3" fontId="82" fillId="0" borderId="0" xfId="0" applyNumberFormat="1" applyFont="1" applyAlignment="1">
      <alignment vertical="center"/>
    </xf>
    <xf numFmtId="0" fontId="27" fillId="0" borderId="0" xfId="0" applyFont="1"/>
    <xf numFmtId="0" fontId="24" fillId="0" borderId="21" xfId="0" applyFont="1" applyFill="1" applyBorder="1" applyAlignment="1" applyProtection="1">
      <alignment horizontal="left"/>
      <protection locked="0"/>
    </xf>
    <xf numFmtId="2" fontId="0" fillId="0" borderId="0" xfId="0" applyNumberFormat="1" applyFill="1" applyBorder="1" applyAlignment="1" applyProtection="1">
      <alignment horizontal="center" vertical="center"/>
      <protection locked="0"/>
    </xf>
    <xf numFmtId="0" fontId="17" fillId="0" borderId="0" xfId="0" applyFont="1" applyBorder="1" applyAlignment="1" applyProtection="1">
      <alignment vertical="center"/>
      <protection locked="0"/>
    </xf>
    <xf numFmtId="0" fontId="14" fillId="0" borderId="0" xfId="0" applyFont="1" applyBorder="1" applyAlignment="1">
      <alignment horizontal="center" vertical="center"/>
    </xf>
    <xf numFmtId="0" fontId="28" fillId="0" borderId="20" xfId="0" applyFont="1" applyBorder="1" applyAlignment="1" applyProtection="1">
      <alignment horizontal="left" vertical="center" wrapText="1"/>
      <protection locked="0"/>
    </xf>
    <xf numFmtId="0" fontId="22" fillId="0" borderId="0" xfId="0" applyFont="1" applyBorder="1" applyAlignment="1">
      <alignment horizontal="center" vertical="center" wrapText="1"/>
    </xf>
    <xf numFmtId="0" fontId="21" fillId="0" borderId="0" xfId="0" applyFont="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13" fillId="0" borderId="0" xfId="0" applyFont="1" applyAlignment="1">
      <alignment vertical="top"/>
    </xf>
    <xf numFmtId="2" fontId="4" fillId="0" borderId="14" xfId="0" applyNumberFormat="1" applyFont="1" applyBorder="1" applyAlignment="1">
      <alignment horizontal="center" vertical="center"/>
    </xf>
    <xf numFmtId="2" fontId="4" fillId="0" borderId="14" xfId="0" applyNumberFormat="1" applyFont="1" applyBorder="1" applyAlignment="1" applyProtection="1">
      <alignment horizontal="center" vertical="center"/>
      <protection locked="0"/>
    </xf>
    <xf numFmtId="2" fontId="4"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11" xfId="0" quotePrefix="1" applyFont="1" applyBorder="1" applyAlignment="1">
      <alignment horizontal="center" vertical="center"/>
    </xf>
    <xf numFmtId="0" fontId="28" fillId="0" borderId="20" xfId="0" applyFont="1" applyBorder="1" applyAlignment="1">
      <alignment vertical="center"/>
    </xf>
    <xf numFmtId="0" fontId="17" fillId="0" borderId="21" xfId="0" applyFont="1" applyBorder="1" applyAlignment="1" applyProtection="1">
      <alignment vertical="center"/>
      <protection locked="0"/>
    </xf>
    <xf numFmtId="0" fontId="0" fillId="0" borderId="20" xfId="0" applyBorder="1" applyAlignment="1">
      <alignment vertical="center"/>
    </xf>
    <xf numFmtId="0" fontId="27" fillId="0" borderId="22" xfId="0" applyFont="1" applyBorder="1" applyAlignment="1" applyProtection="1">
      <alignment horizontal="left" shrinkToFit="1"/>
      <protection locked="0"/>
    </xf>
    <xf numFmtId="0" fontId="17" fillId="0" borderId="20" xfId="0" applyFont="1" applyBorder="1" applyAlignment="1" applyProtection="1">
      <alignment horizontal="left" shrinkToFit="1"/>
      <protection locked="0"/>
    </xf>
    <xf numFmtId="0" fontId="17" fillId="0" borderId="20" xfId="0" applyFont="1" applyBorder="1" applyAlignment="1">
      <alignment vertical="center" shrinkToFit="1"/>
    </xf>
    <xf numFmtId="0" fontId="17" fillId="0" borderId="20" xfId="0" applyFont="1" applyBorder="1" applyAlignment="1" applyProtection="1">
      <alignment vertical="center" shrinkToFit="1"/>
      <protection locked="0"/>
    </xf>
    <xf numFmtId="0" fontId="17" fillId="0" borderId="20" xfId="0" applyFont="1" applyBorder="1" applyAlignment="1">
      <alignment horizontal="left" shrinkToFit="1"/>
    </xf>
    <xf numFmtId="0" fontId="27" fillId="0" borderId="20" xfId="0" applyFont="1" applyBorder="1" applyAlignment="1">
      <alignment shrinkToFit="1"/>
    </xf>
    <xf numFmtId="0" fontId="17" fillId="0" borderId="21" xfId="0" applyFont="1" applyBorder="1" applyAlignment="1" applyProtection="1">
      <alignment horizontal="left" shrinkToFit="1"/>
      <protection locked="0"/>
    </xf>
    <xf numFmtId="0" fontId="27" fillId="0" borderId="20" xfId="0" applyFont="1" applyBorder="1" applyAlignment="1" applyProtection="1">
      <alignment horizontal="left" shrinkToFit="1"/>
      <protection locked="0"/>
    </xf>
    <xf numFmtId="0" fontId="49" fillId="0" borderId="18" xfId="0" quotePrefix="1" applyFont="1" applyBorder="1" applyAlignment="1" applyProtection="1">
      <alignment horizontal="center" vertical="center"/>
      <protection locked="0"/>
    </xf>
    <xf numFmtId="0" fontId="49" fillId="0" borderId="13" xfId="0" quotePrefix="1"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58" fillId="0" borderId="0" xfId="0" applyFont="1" applyAlignment="1" applyProtection="1">
      <alignment vertical="top"/>
      <protection locked="0"/>
    </xf>
    <xf numFmtId="0" fontId="58" fillId="0" borderId="0" xfId="0" applyFont="1" applyAlignment="1">
      <alignment horizontal="left" vertical="top" wrapText="1"/>
    </xf>
    <xf numFmtId="0" fontId="21" fillId="0" borderId="20" xfId="0" applyFont="1" applyBorder="1" applyAlignment="1">
      <alignment vertical="center" shrinkToFit="1"/>
    </xf>
    <xf numFmtId="0" fontId="21" fillId="0" borderId="20" xfId="0" applyFont="1" applyBorder="1" applyAlignment="1">
      <alignment horizontal="left" vertical="center" shrinkToFit="1"/>
    </xf>
    <xf numFmtId="0" fontId="21" fillId="0" borderId="16" xfId="0" applyFont="1" applyBorder="1" applyAlignment="1">
      <alignment vertical="center" shrinkToFit="1"/>
    </xf>
    <xf numFmtId="0" fontId="83" fillId="0" borderId="0" xfId="0" applyFont="1" applyBorder="1"/>
    <xf numFmtId="0" fontId="13" fillId="0" borderId="0" xfId="0" applyFont="1" applyFill="1" applyBorder="1" applyAlignment="1" applyProtection="1">
      <alignment vertical="center"/>
      <protection locked="0"/>
    </xf>
    <xf numFmtId="0" fontId="22" fillId="0" borderId="20" xfId="0" applyFont="1" applyBorder="1" applyAlignment="1">
      <alignment horizontal="center" vertical="center"/>
    </xf>
    <xf numFmtId="0" fontId="20" fillId="0" borderId="21" xfId="0" applyFont="1" applyBorder="1" applyAlignment="1">
      <alignment horizontal="center" vertical="center"/>
    </xf>
    <xf numFmtId="2" fontId="20" fillId="0" borderId="21" xfId="0" applyNumberFormat="1" applyFont="1" applyBorder="1" applyAlignment="1">
      <alignment horizontal="center" vertical="center"/>
    </xf>
    <xf numFmtId="2" fontId="20" fillId="0" borderId="20"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3" fillId="0" borderId="20" xfId="0" applyFont="1" applyBorder="1" applyAlignment="1" applyProtection="1">
      <alignment horizontal="center" vertical="center"/>
      <protection locked="0"/>
    </xf>
    <xf numFmtId="0" fontId="18" fillId="0" borderId="20" xfId="0" applyFont="1" applyBorder="1" applyAlignment="1">
      <alignment horizontal="center" vertical="center"/>
    </xf>
    <xf numFmtId="0" fontId="3" fillId="0" borderId="11" xfId="0" applyFont="1" applyBorder="1" applyAlignment="1">
      <alignment horizontal="center" vertical="center"/>
    </xf>
    <xf numFmtId="0" fontId="24" fillId="0" borderId="19" xfId="0" applyFont="1" applyBorder="1" applyAlignment="1">
      <alignment vertical="center"/>
    </xf>
    <xf numFmtId="0" fontId="77" fillId="0" borderId="0" xfId="0" applyFont="1" applyBorder="1" applyAlignment="1" applyProtection="1">
      <alignment horizontal="center" vertical="center"/>
      <protection locked="0"/>
    </xf>
    <xf numFmtId="0" fontId="3" fillId="0" borderId="0" xfId="0" applyFont="1" applyProtection="1">
      <protection locked="0"/>
    </xf>
    <xf numFmtId="0" fontId="18" fillId="0" borderId="21" xfId="0" applyFont="1" applyBorder="1" applyAlignment="1">
      <alignment horizontal="center" vertical="center" wrapText="1"/>
    </xf>
    <xf numFmtId="0" fontId="11" fillId="0" borderId="24" xfId="0" quotePrefix="1" applyFont="1" applyBorder="1" applyAlignment="1">
      <alignment horizontal="left"/>
    </xf>
    <xf numFmtId="0" fontId="11" fillId="0" borderId="17" xfId="0" quotePrefix="1" applyFont="1" applyBorder="1" applyAlignment="1">
      <alignment horizontal="left"/>
    </xf>
    <xf numFmtId="0" fontId="11" fillId="0" borderId="17" xfId="0" quotePrefix="1" applyFont="1" applyBorder="1" applyAlignment="1">
      <alignment horizontal="left" vertical="top"/>
    </xf>
    <xf numFmtId="0" fontId="11" fillId="0" borderId="16" xfId="0" quotePrefix="1" applyFont="1" applyBorder="1" applyAlignment="1">
      <alignment horizontal="left"/>
    </xf>
    <xf numFmtId="0" fontId="4" fillId="0" borderId="20" xfId="0" applyFont="1" applyBorder="1" applyAlignment="1">
      <alignment horizontal="center"/>
    </xf>
    <xf numFmtId="0" fontId="3" fillId="0" borderId="14" xfId="0" applyFont="1" applyFill="1" applyBorder="1" applyAlignment="1" applyProtection="1">
      <alignment horizontal="center" vertical="center"/>
      <protection locked="0"/>
    </xf>
    <xf numFmtId="0" fontId="16" fillId="0" borderId="17" xfId="0" quotePrefix="1" applyFont="1" applyBorder="1" applyAlignment="1">
      <alignment horizontal="center" vertical="top"/>
    </xf>
    <xf numFmtId="0" fontId="11" fillId="0" borderId="24" xfId="0" quotePrefix="1" applyFont="1" applyBorder="1" applyAlignment="1">
      <alignment horizontal="left" vertical="center"/>
    </xf>
    <xf numFmtId="0" fontId="11" fillId="0" borderId="17" xfId="0" quotePrefix="1" applyFont="1" applyBorder="1" applyAlignment="1">
      <alignment horizontal="left" vertical="center"/>
    </xf>
    <xf numFmtId="0" fontId="11" fillId="0" borderId="16" xfId="0" quotePrefix="1" applyFont="1" applyBorder="1" applyAlignment="1">
      <alignment horizontal="left" vertical="center"/>
    </xf>
    <xf numFmtId="0" fontId="13" fillId="0" borderId="17" xfId="0" quotePrefix="1" applyFont="1" applyBorder="1" applyAlignment="1">
      <alignment horizontal="center" vertical="center"/>
    </xf>
    <xf numFmtId="0" fontId="13" fillId="0" borderId="17" xfId="0" quotePrefix="1" applyFont="1" applyBorder="1" applyAlignment="1">
      <alignment horizontal="center" vertical="top" wrapText="1"/>
    </xf>
    <xf numFmtId="0" fontId="13" fillId="0" borderId="17" xfId="0" quotePrefix="1" applyFont="1" applyBorder="1" applyAlignment="1">
      <alignment horizontal="center" vertical="top"/>
    </xf>
    <xf numFmtId="2" fontId="3" fillId="0" borderId="20" xfId="0" applyNumberFormat="1" applyFont="1" applyBorder="1" applyAlignment="1">
      <alignment horizontal="center" vertical="center"/>
    </xf>
    <xf numFmtId="0" fontId="24" fillId="0" borderId="0" xfId="0" applyFont="1"/>
    <xf numFmtId="0" fontId="24" fillId="0" borderId="0" xfId="0" applyFont="1" applyFill="1" applyBorder="1" applyAlignment="1">
      <alignment horizontal="center"/>
    </xf>
    <xf numFmtId="0" fontId="24" fillId="0" borderId="0" xfId="0" applyFont="1" applyBorder="1"/>
    <xf numFmtId="0" fontId="24" fillId="0" borderId="22" xfId="0" quotePrefix="1" applyFont="1" applyBorder="1" applyAlignment="1">
      <alignment horizontal="center" vertical="top"/>
    </xf>
    <xf numFmtId="0" fontId="24" fillId="0" borderId="20" xfId="0" quotePrefix="1" applyFont="1" applyBorder="1" applyAlignment="1">
      <alignment horizontal="center" vertical="top"/>
    </xf>
    <xf numFmtId="0" fontId="24" fillId="0" borderId="21" xfId="0" quotePrefix="1" applyFont="1" applyBorder="1" applyAlignment="1">
      <alignment horizontal="center" vertical="top"/>
    </xf>
    <xf numFmtId="0" fontId="13" fillId="0" borderId="0" xfId="0" quotePrefix="1" applyFont="1" applyAlignment="1">
      <alignment horizontal="left"/>
    </xf>
    <xf numFmtId="37" fontId="0" fillId="0" borderId="20" xfId="0" applyNumberFormat="1" applyBorder="1" applyAlignment="1">
      <alignment horizontal="center" vertical="center"/>
    </xf>
    <xf numFmtId="37" fontId="0" fillId="0" borderId="14" xfId="0" applyNumberFormat="1" applyBorder="1" applyAlignment="1">
      <alignment horizontal="center" vertical="center"/>
    </xf>
    <xf numFmtId="37" fontId="0" fillId="0" borderId="22" xfId="0" applyNumberFormat="1" applyBorder="1" applyAlignment="1">
      <alignment horizontal="center" vertical="center"/>
    </xf>
    <xf numFmtId="37" fontId="4" fillId="0" borderId="14" xfId="0" applyNumberFormat="1" applyFont="1" applyBorder="1" applyAlignment="1">
      <alignment horizontal="center" vertical="center"/>
    </xf>
    <xf numFmtId="37" fontId="4" fillId="0" borderId="20" xfId="0" applyNumberFormat="1" applyFont="1" applyBorder="1" applyAlignment="1">
      <alignment horizontal="center" vertical="center"/>
    </xf>
    <xf numFmtId="1" fontId="24" fillId="0" borderId="11" xfId="0" applyNumberFormat="1" applyFont="1" applyBorder="1" applyAlignment="1">
      <alignment horizontal="center" vertical="center"/>
    </xf>
    <xf numFmtId="0" fontId="45" fillId="0" borderId="0" xfId="0" applyFont="1" applyBorder="1" applyAlignment="1"/>
    <xf numFmtId="0" fontId="15" fillId="0" borderId="0" xfId="0" applyFont="1" applyBorder="1" applyAlignment="1">
      <alignment horizontal="right" vertical="top"/>
    </xf>
    <xf numFmtId="4" fontId="7" fillId="0" borderId="0" xfId="0" applyNumberFormat="1" applyFont="1"/>
    <xf numFmtId="2" fontId="3" fillId="0" borderId="21" xfId="0" applyNumberFormat="1" applyFont="1" applyBorder="1" applyAlignment="1">
      <alignment horizontal="center" vertical="center"/>
    </xf>
    <xf numFmtId="0" fontId="16" fillId="0" borderId="14" xfId="0" applyFont="1" applyBorder="1" applyAlignment="1">
      <alignment horizontal="center"/>
    </xf>
    <xf numFmtId="0" fontId="20" fillId="0" borderId="10" xfId="0" applyFont="1" applyBorder="1" applyAlignment="1">
      <alignment horizontal="center" vertical="center"/>
    </xf>
    <xf numFmtId="0" fontId="45" fillId="0" borderId="0" xfId="0" applyFont="1" applyAlignment="1">
      <alignment horizontal="left" vertical="top"/>
    </xf>
    <xf numFmtId="0" fontId="20" fillId="0" borderId="21"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66" fillId="0" borderId="21"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2" fontId="4" fillId="0" borderId="14" xfId="0" applyNumberFormat="1" applyFont="1" applyFill="1" applyBorder="1" applyAlignment="1">
      <alignment horizontal="center" vertical="center"/>
    </xf>
    <xf numFmtId="165" fontId="85" fillId="0" borderId="20" xfId="0" applyNumberFormat="1" applyFont="1" applyBorder="1" applyAlignment="1">
      <alignment horizontal="center" vertical="center"/>
    </xf>
    <xf numFmtId="165" fontId="85" fillId="0" borderId="21" xfId="0" applyNumberFormat="1" applyFont="1" applyBorder="1" applyAlignment="1">
      <alignment horizontal="center" vertical="center"/>
    </xf>
    <xf numFmtId="0" fontId="20" fillId="0" borderId="20" xfId="0" applyFont="1" applyBorder="1" applyAlignment="1">
      <alignment horizontal="center"/>
    </xf>
    <xf numFmtId="0" fontId="16" fillId="0" borderId="20" xfId="0" quotePrefix="1" applyFont="1" applyBorder="1" applyAlignment="1">
      <alignment horizontal="center" vertical="center"/>
    </xf>
    <xf numFmtId="0" fontId="16" fillId="0" borderId="21" xfId="0" quotePrefix="1" applyFont="1" applyBorder="1" applyAlignment="1">
      <alignment horizontal="center" vertical="center"/>
    </xf>
    <xf numFmtId="0" fontId="21" fillId="0" borderId="0" xfId="0" applyFont="1" applyFill="1" applyBorder="1" applyAlignment="1">
      <alignment vertical="center"/>
    </xf>
    <xf numFmtId="0" fontId="12" fillId="0" borderId="0" xfId="0" applyFont="1"/>
    <xf numFmtId="0" fontId="14" fillId="0" borderId="0" xfId="0" applyFont="1" applyBorder="1" applyAlignment="1">
      <alignment horizontal="center" vertical="top" wrapText="1"/>
    </xf>
    <xf numFmtId="0" fontId="14" fillId="0" borderId="14" xfId="0" applyFont="1" applyBorder="1" applyAlignment="1">
      <alignment horizontal="center" vertical="top" wrapText="1"/>
    </xf>
    <xf numFmtId="0" fontId="22" fillId="0" borderId="0" xfId="0" applyFont="1"/>
    <xf numFmtId="0" fontId="22" fillId="0" borderId="19" xfId="0" quotePrefix="1" applyFont="1" applyBorder="1" applyAlignment="1">
      <alignment horizontal="center" vertical="center"/>
    </xf>
    <xf numFmtId="0" fontId="22" fillId="0" borderId="11" xfId="0" quotePrefix="1" applyFont="1" applyBorder="1" applyAlignment="1">
      <alignment horizontal="center" vertical="center"/>
    </xf>
    <xf numFmtId="0" fontId="22" fillId="0" borderId="13" xfId="0" quotePrefix="1" applyFont="1" applyBorder="1" applyAlignment="1">
      <alignment horizontal="center" vertical="center"/>
    </xf>
    <xf numFmtId="0" fontId="22" fillId="0" borderId="18" xfId="0" quotePrefix="1" applyFont="1" applyBorder="1" applyAlignment="1">
      <alignment horizontal="center" vertical="center"/>
    </xf>
    <xf numFmtId="0" fontId="22" fillId="0" borderId="11" xfId="0" quotePrefix="1" applyFont="1" applyFill="1" applyBorder="1" applyAlignment="1">
      <alignment horizontal="center" vertical="center"/>
    </xf>
    <xf numFmtId="0" fontId="22" fillId="0" borderId="13" xfId="0" quotePrefix="1" applyFont="1" applyFill="1" applyBorder="1" applyAlignment="1">
      <alignment horizontal="center" vertical="center"/>
    </xf>
    <xf numFmtId="0" fontId="20" fillId="0" borderId="0" xfId="0" applyFont="1" applyAlignment="1">
      <alignment horizontal="right"/>
    </xf>
    <xf numFmtId="0" fontId="86" fillId="0" borderId="0" xfId="0" applyFont="1"/>
    <xf numFmtId="2" fontId="4" fillId="0" borderId="16" xfId="0" applyNumberFormat="1" applyFont="1" applyFill="1" applyBorder="1" applyAlignment="1">
      <alignment horizontal="center" vertical="center"/>
    </xf>
    <xf numFmtId="2" fontId="0" fillId="0" borderId="14" xfId="0" applyNumberFormat="1" applyBorder="1" applyAlignment="1" applyProtection="1">
      <alignment vertical="center"/>
      <protection locked="0"/>
    </xf>
    <xf numFmtId="0" fontId="17" fillId="0" borderId="17" xfId="0" applyFont="1" applyBorder="1" applyAlignment="1">
      <alignment horizontal="center" vertical="center"/>
    </xf>
    <xf numFmtId="0" fontId="87" fillId="0" borderId="0" xfId="0" applyFont="1"/>
    <xf numFmtId="0" fontId="20" fillId="0" borderId="20" xfId="0" applyFont="1" applyFill="1" applyBorder="1" applyAlignment="1">
      <alignment horizontal="center" vertical="center"/>
    </xf>
    <xf numFmtId="0" fontId="4" fillId="0" borderId="0" xfId="0" applyFont="1" applyBorder="1" applyAlignment="1">
      <alignment horizontal="right"/>
    </xf>
    <xf numFmtId="0" fontId="3" fillId="0" borderId="20" xfId="0" quotePrefix="1" applyFont="1" applyBorder="1" applyAlignment="1" applyProtection="1">
      <alignment horizontal="center" vertical="center"/>
      <protection locked="0"/>
    </xf>
    <xf numFmtId="0" fontId="3" fillId="0" borderId="20" xfId="0" quotePrefix="1" applyFont="1" applyBorder="1" applyAlignment="1">
      <alignment horizontal="center"/>
    </xf>
    <xf numFmtId="0" fontId="3" fillId="0" borderId="20" xfId="0" quotePrefix="1" applyFont="1" applyBorder="1" applyAlignment="1">
      <alignment horizontal="center" vertical="center"/>
    </xf>
    <xf numFmtId="0" fontId="0" fillId="0" borderId="20" xfId="0" quotePrefix="1" applyBorder="1" applyAlignment="1">
      <alignment horizontal="center"/>
    </xf>
    <xf numFmtId="0" fontId="0" fillId="0" borderId="20" xfId="0" quotePrefix="1" applyBorder="1" applyAlignment="1">
      <alignment horizontal="center" vertical="center"/>
    </xf>
    <xf numFmtId="0" fontId="3" fillId="0" borderId="21" xfId="0" quotePrefix="1" applyFont="1" applyBorder="1" applyAlignment="1">
      <alignment horizontal="center" vertical="center"/>
    </xf>
    <xf numFmtId="0" fontId="28" fillId="0" borderId="20" xfId="0" quotePrefix="1" applyFont="1" applyBorder="1" applyAlignment="1" applyProtection="1">
      <alignment horizontal="center" vertical="center"/>
      <protection locked="0"/>
    </xf>
    <xf numFmtId="0" fontId="4" fillId="0" borderId="17" xfId="0" quotePrefix="1" applyFont="1" applyBorder="1" applyAlignment="1" applyProtection="1">
      <alignment horizontal="center" vertical="center"/>
      <protection locked="0"/>
    </xf>
    <xf numFmtId="0" fontId="4" fillId="0" borderId="0" xfId="0" quotePrefix="1" applyFont="1" applyBorder="1" applyAlignment="1" applyProtection="1">
      <alignment horizontal="center" vertical="center"/>
      <protection locked="0"/>
    </xf>
    <xf numFmtId="0" fontId="4" fillId="0" borderId="14" xfId="0" quotePrefix="1" applyFont="1" applyBorder="1" applyAlignment="1" applyProtection="1">
      <alignment horizontal="center" vertical="center"/>
      <protection locked="0"/>
    </xf>
    <xf numFmtId="166" fontId="8" fillId="0" borderId="0" xfId="0" applyNumberFormat="1" applyFont="1" applyBorder="1" applyAlignment="1">
      <alignment horizontal="center" wrapText="1"/>
    </xf>
    <xf numFmtId="0" fontId="0" fillId="0" borderId="22" xfId="0" applyBorder="1" applyAlignment="1">
      <alignment horizontal="right" vertical="center"/>
    </xf>
    <xf numFmtId="0" fontId="3" fillId="0" borderId="14" xfId="0" quotePrefix="1" applyFont="1" applyFill="1" applyBorder="1" applyAlignment="1">
      <alignment horizontal="center" vertical="center"/>
    </xf>
    <xf numFmtId="0" fontId="3" fillId="0" borderId="17" xfId="0" quotePrefix="1" applyFont="1" applyFill="1" applyBorder="1" applyAlignment="1">
      <alignment horizontal="center" vertical="center"/>
    </xf>
    <xf numFmtId="0" fontId="21" fillId="0" borderId="21" xfId="0" applyFont="1" applyFill="1" applyBorder="1" applyAlignment="1">
      <alignment horizontal="center" vertical="center"/>
    </xf>
    <xf numFmtId="0" fontId="21" fillId="0" borderId="17" xfId="0" applyFont="1" applyBorder="1" applyAlignment="1">
      <alignment vertical="center" shrinkToFit="1"/>
    </xf>
    <xf numFmtId="37" fontId="0" fillId="0" borderId="17" xfId="0" applyNumberFormat="1" applyBorder="1" applyAlignment="1">
      <alignment horizontal="center" vertical="center"/>
    </xf>
    <xf numFmtId="0" fontId="13" fillId="0" borderId="17" xfId="0" applyFont="1" applyBorder="1" applyAlignment="1">
      <alignment horizontal="center" vertical="center"/>
    </xf>
    <xf numFmtId="0" fontId="14" fillId="0" borderId="21"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Border="1" applyAlignment="1">
      <alignment horizontal="left" vertical="center"/>
    </xf>
    <xf numFmtId="0" fontId="22" fillId="0" borderId="16" xfId="0" applyFont="1" applyBorder="1" applyAlignment="1">
      <alignment horizontal="center" vertical="center"/>
    </xf>
    <xf numFmtId="0" fontId="18" fillId="0" borderId="23" xfId="0" applyFont="1" applyBorder="1" applyAlignment="1">
      <alignment horizontal="center" vertical="center"/>
    </xf>
    <xf numFmtId="0" fontId="0" fillId="0" borderId="16" xfId="0" applyFill="1" applyBorder="1" applyAlignment="1">
      <alignment horizontal="center" vertical="center"/>
    </xf>
    <xf numFmtId="0" fontId="0" fillId="0" borderId="23" xfId="0" applyFill="1" applyBorder="1" applyAlignment="1">
      <alignment horizontal="center" vertical="center"/>
    </xf>
    <xf numFmtId="0" fontId="0" fillId="0" borderId="15" xfId="0" applyFill="1" applyBorder="1" applyAlignment="1">
      <alignment horizontal="center" vertical="center"/>
    </xf>
    <xf numFmtId="0" fontId="72" fillId="0" borderId="21" xfId="0" applyFont="1" applyBorder="1" applyAlignment="1">
      <alignment horizontal="center" vertical="center"/>
    </xf>
    <xf numFmtId="0" fontId="18" fillId="0" borderId="14" xfId="0" applyFont="1" applyFill="1" applyBorder="1" applyAlignment="1">
      <alignment horizontal="center" vertical="center"/>
    </xf>
    <xf numFmtId="0" fontId="0" fillId="0" borderId="16" xfId="0" applyFill="1" applyBorder="1" applyAlignment="1" applyProtection="1">
      <alignment horizontal="center" vertical="center"/>
      <protection locked="0"/>
    </xf>
    <xf numFmtId="0" fontId="18" fillId="0" borderId="24" xfId="0" applyFont="1" applyFill="1" applyBorder="1" applyAlignment="1">
      <alignment horizontal="center" vertical="center"/>
    </xf>
    <xf numFmtId="0" fontId="23" fillId="0" borderId="24" xfId="0" quotePrefix="1" applyFont="1" applyBorder="1" applyAlignment="1">
      <alignment horizontal="center" vertical="center"/>
    </xf>
    <xf numFmtId="0" fontId="0" fillId="0" borderId="10" xfId="0" quotePrefix="1" applyBorder="1" applyAlignment="1">
      <alignment horizontal="center" vertical="center"/>
    </xf>
    <xf numFmtId="2" fontId="20" fillId="0" borderId="21" xfId="0" applyNumberFormat="1" applyFont="1" applyBorder="1" applyAlignment="1" applyProtection="1">
      <alignment horizontal="center" vertical="center"/>
      <protection locked="0"/>
    </xf>
    <xf numFmtId="0" fontId="38" fillId="0" borderId="22" xfId="0" applyFont="1" applyBorder="1" applyAlignment="1">
      <alignment horizontal="center" vertical="center"/>
    </xf>
    <xf numFmtId="0" fontId="13" fillId="0" borderId="10" xfId="0" applyFont="1" applyBorder="1" applyAlignment="1">
      <alignment horizontal="right" vertical="top" wrapText="1"/>
    </xf>
    <xf numFmtId="1" fontId="4" fillId="0" borderId="17" xfId="0" applyNumberFormat="1" applyFont="1" applyBorder="1" applyAlignment="1">
      <alignment horizontal="center" vertical="center"/>
    </xf>
    <xf numFmtId="1" fontId="4" fillId="0" borderId="16" xfId="0" applyNumberFormat="1" applyFont="1" applyBorder="1" applyAlignment="1">
      <alignment horizontal="center" vertical="center"/>
    </xf>
    <xf numFmtId="1" fontId="4" fillId="0" borderId="21" xfId="0" applyNumberFormat="1" applyFont="1" applyFill="1" applyBorder="1" applyAlignment="1">
      <alignment horizontal="center" vertical="center"/>
    </xf>
    <xf numFmtId="2" fontId="4" fillId="0" borderId="16" xfId="0" applyNumberFormat="1" applyFont="1" applyBorder="1" applyAlignment="1">
      <alignment horizontal="center" vertical="center"/>
    </xf>
    <xf numFmtId="0" fontId="16" fillId="0" borderId="22" xfId="0" quotePrefix="1" applyFont="1" applyBorder="1" applyAlignment="1">
      <alignment horizontal="center" vertical="center"/>
    </xf>
    <xf numFmtId="0" fontId="0" fillId="0" borderId="0" xfId="0" quotePrefix="1" applyBorder="1" applyAlignment="1" applyProtection="1">
      <alignment horizontal="center" vertical="center"/>
    </xf>
    <xf numFmtId="165" fontId="4" fillId="0" borderId="20" xfId="0" applyNumberFormat="1" applyFont="1" applyBorder="1" applyAlignment="1">
      <alignment horizontal="center" vertical="center" wrapText="1"/>
    </xf>
    <xf numFmtId="0" fontId="0" fillId="0" borderId="0" xfId="0" applyAlignment="1">
      <alignment horizontal="center" vertical="top"/>
    </xf>
    <xf numFmtId="0" fontId="38" fillId="0" borderId="23" xfId="0" applyFont="1" applyBorder="1" applyAlignment="1">
      <alignment horizontal="center" vertical="center" wrapText="1"/>
    </xf>
    <xf numFmtId="0" fontId="38" fillId="0" borderId="22" xfId="0" applyFont="1" applyBorder="1" applyAlignment="1">
      <alignment horizontal="center" vertical="center" wrapText="1"/>
    </xf>
    <xf numFmtId="0" fontId="77" fillId="0" borderId="0" xfId="0" quotePrefix="1" applyFont="1" applyBorder="1" applyAlignment="1" applyProtection="1">
      <alignment horizontal="center" vertical="center"/>
      <protection locked="0"/>
    </xf>
    <xf numFmtId="0" fontId="4" fillId="0" borderId="20" xfId="0" quotePrefix="1" applyFont="1" applyBorder="1" applyAlignment="1" applyProtection="1">
      <alignment horizontal="center" vertical="center"/>
      <protection locked="0"/>
    </xf>
    <xf numFmtId="0" fontId="27" fillId="0" borderId="24"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16" fillId="0" borderId="19" xfId="0" applyFont="1" applyBorder="1" applyAlignment="1">
      <alignment horizontal="center" vertical="center" wrapText="1"/>
    </xf>
    <xf numFmtId="0" fontId="16" fillId="0" borderId="22" xfId="0" quotePrefix="1" applyFont="1" applyBorder="1" applyAlignment="1">
      <alignment horizontal="center" vertical="center" wrapText="1"/>
    </xf>
    <xf numFmtId="165" fontId="0" fillId="0" borderId="22" xfId="0" applyNumberFormat="1" applyBorder="1" applyAlignment="1">
      <alignment horizontal="center" vertical="center"/>
    </xf>
    <xf numFmtId="0" fontId="13" fillId="0" borderId="14" xfId="0" applyFont="1" applyBorder="1" applyAlignment="1">
      <alignment horizontal="center"/>
    </xf>
    <xf numFmtId="0" fontId="54" fillId="0" borderId="17" xfId="0" applyFont="1" applyBorder="1" applyAlignment="1">
      <alignment vertical="top"/>
    </xf>
    <xf numFmtId="0" fontId="28" fillId="0" borderId="17" xfId="0" applyFont="1" applyBorder="1" applyAlignment="1">
      <alignment horizontal="left"/>
    </xf>
    <xf numFmtId="0" fontId="54" fillId="0" borderId="17" xfId="0" applyFont="1" applyBorder="1"/>
    <xf numFmtId="0" fontId="54" fillId="0" borderId="17" xfId="0" applyFont="1" applyBorder="1" applyAlignment="1">
      <alignment horizontal="left" vertical="top"/>
    </xf>
    <xf numFmtId="0" fontId="28" fillId="0" borderId="17" xfId="0" applyFont="1" applyBorder="1" applyAlignment="1">
      <alignment horizontal="left" vertical="center"/>
    </xf>
    <xf numFmtId="0" fontId="56" fillId="0" borderId="17" xfId="0" applyFont="1" applyBorder="1" applyAlignment="1">
      <alignment horizontal="left" vertical="center"/>
    </xf>
    <xf numFmtId="0" fontId="56" fillId="0" borderId="17" xfId="0" applyFont="1" applyBorder="1" applyAlignment="1">
      <alignment horizontal="center" vertical="top"/>
    </xf>
    <xf numFmtId="165" fontId="4" fillId="0" borderId="22" xfId="0" applyNumberFormat="1" applyFont="1" applyBorder="1" applyAlignment="1">
      <alignment horizontal="center" vertical="center"/>
    </xf>
    <xf numFmtId="0" fontId="66" fillId="0" borderId="0" xfId="0" quotePrefix="1" applyFont="1" applyAlignment="1">
      <alignment horizontal="center" vertical="top"/>
    </xf>
    <xf numFmtId="0" fontId="80" fillId="0" borderId="12" xfId="0" applyFont="1" applyBorder="1" applyAlignment="1" applyProtection="1">
      <alignment horizontal="left" vertical="top"/>
      <protection locked="0"/>
    </xf>
    <xf numFmtId="0" fontId="15" fillId="0" borderId="14" xfId="0" applyFont="1" applyBorder="1" applyAlignment="1">
      <alignment horizontal="left"/>
    </xf>
    <xf numFmtId="0" fontId="17" fillId="0" borderId="0" xfId="0" applyFont="1" applyBorder="1" applyAlignment="1">
      <alignment vertical="center"/>
    </xf>
    <xf numFmtId="0" fontId="13" fillId="0" borderId="0" xfId="0" applyFont="1" applyBorder="1" applyAlignment="1">
      <alignment horizontal="center" vertical="center"/>
    </xf>
    <xf numFmtId="0" fontId="15" fillId="0" borderId="0" xfId="0" applyFont="1" applyBorder="1" applyAlignment="1">
      <alignment horizontal="center" vertical="center"/>
    </xf>
    <xf numFmtId="0" fontId="21" fillId="0" borderId="0" xfId="0" applyFont="1" applyBorder="1" applyAlignment="1">
      <alignment vertical="center"/>
    </xf>
    <xf numFmtId="1" fontId="9" fillId="0" borderId="0" xfId="0" applyNumberFormat="1" applyFont="1" applyBorder="1" applyAlignment="1">
      <alignment horizontal="center" vertical="center"/>
    </xf>
    <xf numFmtId="2" fontId="9" fillId="0" borderId="0" xfId="0" applyNumberFormat="1" applyFont="1" applyBorder="1" applyAlignment="1">
      <alignment horizontal="center" vertical="center"/>
    </xf>
    <xf numFmtId="0" fontId="79" fillId="0" borderId="0" xfId="0" applyFont="1" applyBorder="1" applyAlignment="1">
      <alignment horizontal="right" vertical="center"/>
    </xf>
    <xf numFmtId="0" fontId="13" fillId="0" borderId="0" xfId="0" applyFont="1" applyBorder="1" applyAlignment="1" applyProtection="1">
      <alignment horizontal="right" vertical="center"/>
      <protection locked="0"/>
    </xf>
    <xf numFmtId="0" fontId="21" fillId="0" borderId="0" xfId="0" applyFont="1" applyBorder="1" applyAlignment="1" applyProtection="1">
      <alignment vertical="center"/>
      <protection locked="0"/>
    </xf>
    <xf numFmtId="0" fontId="25" fillId="0" borderId="21" xfId="0" applyFont="1" applyBorder="1" applyAlignment="1">
      <alignment horizontal="left" vertical="top"/>
    </xf>
    <xf numFmtId="2" fontId="4" fillId="0" borderId="15" xfId="0" applyNumberFormat="1" applyFont="1" applyBorder="1" applyAlignment="1">
      <alignment horizontal="center" vertical="center"/>
    </xf>
    <xf numFmtId="37" fontId="0" fillId="0" borderId="21" xfId="0" applyNumberFormat="1" applyBorder="1" applyAlignment="1">
      <alignment horizontal="center" vertical="center"/>
    </xf>
    <xf numFmtId="0" fontId="0" fillId="0" borderId="0" xfId="0" applyBorder="1" applyAlignment="1">
      <alignment horizontal="right" vertical="top"/>
    </xf>
    <xf numFmtId="0" fontId="0" fillId="0" borderId="0" xfId="0" applyAlignment="1">
      <alignment horizontal="right" vertical="top"/>
    </xf>
    <xf numFmtId="0" fontId="66" fillId="0" borderId="0" xfId="0" applyFont="1" applyAlignment="1">
      <alignment horizontal="right" vertical="top"/>
    </xf>
    <xf numFmtId="0" fontId="58" fillId="0" borderId="0" xfId="0" applyFont="1" applyAlignment="1">
      <alignment horizontal="left" vertical="top"/>
    </xf>
    <xf numFmtId="0" fontId="15" fillId="0" borderId="22" xfId="0" applyFont="1" applyBorder="1" applyAlignment="1" applyProtection="1">
      <alignment horizontal="center" vertical="center" wrapText="1"/>
      <protection locked="0"/>
    </xf>
    <xf numFmtId="0" fontId="27" fillId="0" borderId="0" xfId="0" applyFont="1" applyBorder="1" applyAlignment="1">
      <alignment horizontal="center"/>
    </xf>
    <xf numFmtId="0" fontId="31" fillId="0" borderId="22" xfId="0" applyFont="1" applyBorder="1" applyAlignment="1">
      <alignment horizontal="center" vertical="center" wrapText="1"/>
    </xf>
    <xf numFmtId="0" fontId="28" fillId="0" borderId="22" xfId="0" quotePrefix="1" applyFont="1" applyBorder="1" applyAlignment="1" applyProtection="1">
      <alignment horizontal="center" vertical="center"/>
      <protection locked="0"/>
    </xf>
    <xf numFmtId="1" fontId="28" fillId="0" borderId="17" xfId="0" applyNumberFormat="1" applyFont="1" applyBorder="1" applyAlignment="1" applyProtection="1">
      <alignment horizontal="center" vertical="center"/>
      <protection locked="0"/>
    </xf>
    <xf numFmtId="1" fontId="28" fillId="0" borderId="17" xfId="0" applyNumberFormat="1" applyFont="1" applyBorder="1" applyAlignment="1">
      <alignment horizontal="center" vertical="center"/>
    </xf>
    <xf numFmtId="1" fontId="28" fillId="0" borderId="14" xfId="0" applyNumberFormat="1" applyFont="1" applyBorder="1" applyAlignment="1">
      <alignment horizontal="center" vertical="center"/>
    </xf>
    <xf numFmtId="0" fontId="71" fillId="0" borderId="10" xfId="0" applyFont="1" applyBorder="1" applyAlignment="1">
      <alignment horizontal="center" vertical="center"/>
    </xf>
    <xf numFmtId="0" fontId="27" fillId="0" borderId="24" xfId="0" applyFont="1" applyBorder="1" applyAlignment="1">
      <alignment horizontal="center"/>
    </xf>
    <xf numFmtId="0" fontId="27" fillId="0" borderId="12" xfId="0" applyFont="1" applyBorder="1" applyAlignment="1">
      <alignment horizontal="center"/>
    </xf>
    <xf numFmtId="0" fontId="27" fillId="0" borderId="23" xfId="0" applyFont="1" applyBorder="1" applyAlignment="1">
      <alignment horizontal="center"/>
    </xf>
    <xf numFmtId="0" fontId="27" fillId="0" borderId="17" xfId="0" applyFont="1" applyBorder="1" applyAlignment="1">
      <alignment horizontal="center"/>
    </xf>
    <xf numFmtId="0" fontId="27" fillId="0" borderId="14" xfId="0" applyFont="1" applyBorder="1" applyAlignment="1">
      <alignment horizontal="center"/>
    </xf>
    <xf numFmtId="0" fontId="0" fillId="0" borderId="10" xfId="0"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4" fillId="0" borderId="15" xfId="0" applyFont="1" applyBorder="1" applyAlignment="1">
      <alignment horizontal="center"/>
    </xf>
    <xf numFmtId="0" fontId="15" fillId="0" borderId="19" xfId="0" applyFont="1" applyBorder="1" applyAlignment="1" applyProtection="1">
      <alignment horizontal="center" vertical="center"/>
      <protection locked="0"/>
    </xf>
    <xf numFmtId="0" fontId="15" fillId="0" borderId="19" xfId="0" applyFont="1"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21" xfId="0" applyFont="1" applyBorder="1" applyAlignment="1">
      <alignment horizontal="center" vertical="center" wrapText="1"/>
    </xf>
    <xf numFmtId="0" fontId="77" fillId="0" borderId="14" xfId="0" applyFont="1" applyBorder="1" applyAlignment="1">
      <alignment vertical="center"/>
    </xf>
    <xf numFmtId="0" fontId="28" fillId="0" borderId="22" xfId="0" applyFont="1" applyBorder="1" applyAlignment="1">
      <alignment horizontal="left" vertical="center"/>
    </xf>
    <xf numFmtId="0" fontId="28" fillId="0" borderId="20" xfId="0" applyFont="1" applyBorder="1" applyAlignment="1">
      <alignment horizontal="left" vertical="center"/>
    </xf>
    <xf numFmtId="0" fontId="22" fillId="0" borderId="14" xfId="0" applyFont="1" applyBorder="1" applyAlignment="1">
      <alignment horizontal="left" vertical="center"/>
    </xf>
    <xf numFmtId="0" fontId="3" fillId="0" borderId="21" xfId="0" applyFont="1" applyBorder="1" applyAlignment="1" applyProtection="1">
      <alignment horizontal="center" vertical="center"/>
      <protection locked="0"/>
    </xf>
    <xf numFmtId="0" fontId="31" fillId="0" borderId="23" xfId="0" applyFont="1" applyBorder="1" applyAlignment="1">
      <alignment horizontal="center" vertical="center" wrapText="1"/>
    </xf>
    <xf numFmtId="0" fontId="28" fillId="0" borderId="16" xfId="0" applyFont="1" applyBorder="1" applyAlignment="1" applyProtection="1">
      <alignment horizontal="center" vertical="center"/>
      <protection locked="0"/>
    </xf>
    <xf numFmtId="0" fontId="16" fillId="0" borderId="0" xfId="0" applyFont="1" applyBorder="1" applyAlignment="1">
      <alignment horizontal="left" vertical="center"/>
    </xf>
    <xf numFmtId="0" fontId="21" fillId="0" borderId="17" xfId="0" applyFont="1" applyBorder="1" applyAlignment="1">
      <alignment vertical="center"/>
    </xf>
    <xf numFmtId="0" fontId="21" fillId="0" borderId="16" xfId="0" applyFont="1" applyBorder="1" applyAlignment="1">
      <alignment vertical="center"/>
    </xf>
    <xf numFmtId="0" fontId="30" fillId="0" borderId="24" xfId="0" quotePrefix="1" applyFont="1" applyBorder="1" applyAlignment="1">
      <alignment horizontal="center" vertical="center"/>
    </xf>
    <xf numFmtId="0" fontId="30" fillId="0" borderId="22" xfId="0" quotePrefix="1" applyFont="1" applyBorder="1" applyAlignment="1">
      <alignment horizontal="center" vertical="center"/>
    </xf>
    <xf numFmtId="0" fontId="30" fillId="0" borderId="12" xfId="0" quotePrefix="1" applyFont="1" applyBorder="1" applyAlignment="1">
      <alignment horizontal="center" vertical="center"/>
    </xf>
    <xf numFmtId="0" fontId="30" fillId="0" borderId="22" xfId="0" quotePrefix="1" applyFont="1" applyBorder="1" applyAlignment="1">
      <alignment horizontal="center" vertical="center" wrapText="1"/>
    </xf>
    <xf numFmtId="0" fontId="30" fillId="0" borderId="23" xfId="0" quotePrefix="1" applyFont="1" applyBorder="1" applyAlignment="1">
      <alignment horizontal="center" vertical="center" wrapText="1"/>
    </xf>
    <xf numFmtId="0" fontId="30" fillId="0" borderId="23" xfId="0" quotePrefix="1" applyFont="1" applyBorder="1" applyAlignment="1">
      <alignment horizontal="center" vertical="center"/>
    </xf>
    <xf numFmtId="0" fontId="88" fillId="0" borderId="19" xfId="0" applyFont="1" applyBorder="1" applyAlignment="1">
      <alignment horizontal="center" vertical="center" wrapText="1"/>
    </xf>
    <xf numFmtId="0" fontId="88" fillId="0" borderId="13" xfId="0" applyFont="1" applyBorder="1" applyAlignment="1">
      <alignment horizontal="center" vertical="center" wrapText="1"/>
    </xf>
    <xf numFmtId="0" fontId="89" fillId="0" borderId="19" xfId="0" applyFont="1" applyBorder="1" applyAlignment="1">
      <alignment horizontal="center" vertical="center" wrapText="1"/>
    </xf>
    <xf numFmtId="0" fontId="90" fillId="0" borderId="0" xfId="0" applyFont="1"/>
    <xf numFmtId="0" fontId="21" fillId="0" borderId="0" xfId="0" applyFont="1"/>
    <xf numFmtId="0" fontId="18" fillId="0" borderId="18" xfId="0" applyFont="1" applyBorder="1" applyAlignment="1">
      <alignment horizontal="center" vertical="center" wrapText="1"/>
    </xf>
    <xf numFmtId="2" fontId="20" fillId="0" borderId="14" xfId="0" applyNumberFormat="1" applyFont="1" applyBorder="1" applyAlignment="1">
      <alignment horizontal="center" vertical="center"/>
    </xf>
    <xf numFmtId="0" fontId="21" fillId="0" borderId="15" xfId="0" applyFont="1" applyBorder="1" applyAlignment="1" applyProtection="1">
      <alignment horizontal="center" vertical="center"/>
      <protection locked="0"/>
    </xf>
    <xf numFmtId="0" fontId="18" fillId="0" borderId="0" xfId="0" applyFont="1" applyAlignment="1">
      <alignment horizontal="center" vertical="center" wrapText="1"/>
    </xf>
    <xf numFmtId="2" fontId="4" fillId="0" borderId="21" xfId="0" applyNumberFormat="1" applyFont="1" applyBorder="1" applyAlignment="1">
      <alignment horizontal="center" vertical="center"/>
    </xf>
    <xf numFmtId="2" fontId="20" fillId="0" borderId="15" xfId="0" applyNumberFormat="1" applyFont="1" applyBorder="1" applyAlignment="1">
      <alignment horizontal="center" vertical="center"/>
    </xf>
    <xf numFmtId="0" fontId="28" fillId="0" borderId="19" xfId="0" applyFont="1" applyFill="1" applyBorder="1" applyAlignment="1">
      <alignment horizontal="center" vertical="center"/>
    </xf>
    <xf numFmtId="0" fontId="13" fillId="0" borderId="0" xfId="0" applyFont="1" applyBorder="1" applyAlignment="1">
      <alignment vertical="top"/>
    </xf>
    <xf numFmtId="0" fontId="21" fillId="0" borderId="21" xfId="0" applyFont="1" applyBorder="1" applyAlignment="1" applyProtection="1">
      <alignment horizontal="center" vertical="center"/>
      <protection locked="0"/>
    </xf>
    <xf numFmtId="0" fontId="21" fillId="0" borderId="20" xfId="0" applyFont="1" applyBorder="1" applyAlignment="1" applyProtection="1">
      <alignment horizontal="center" vertical="center" shrinkToFit="1"/>
      <protection locked="0"/>
    </xf>
    <xf numFmtId="0" fontId="21" fillId="0" borderId="20" xfId="0" applyFont="1" applyBorder="1" applyAlignment="1">
      <alignment horizontal="center" vertical="center" wrapText="1" shrinkToFit="1"/>
    </xf>
    <xf numFmtId="0" fontId="21" fillId="0" borderId="20"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shrinkToFit="1"/>
      <protection locked="0"/>
    </xf>
    <xf numFmtId="0" fontId="15" fillId="0" borderId="20"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6" xfId="0" applyFont="1" applyFill="1" applyBorder="1" applyAlignment="1">
      <alignment horizontal="center" vertical="center"/>
    </xf>
    <xf numFmtId="2" fontId="91" fillId="0" borderId="20" xfId="0" applyNumberFormat="1" applyFont="1" applyBorder="1" applyAlignment="1">
      <alignment horizontal="center" vertical="center"/>
    </xf>
    <xf numFmtId="2" fontId="91" fillId="0" borderId="0" xfId="0" applyNumberFormat="1" applyFont="1" applyBorder="1" applyAlignment="1">
      <alignment horizontal="center" vertical="center"/>
    </xf>
    <xf numFmtId="2" fontId="91" fillId="0" borderId="21" xfId="0" applyNumberFormat="1" applyFont="1" applyBorder="1" applyAlignment="1">
      <alignment horizontal="center" vertical="center"/>
    </xf>
    <xf numFmtId="2" fontId="92" fillId="0" borderId="0" xfId="0"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22" xfId="0" applyFont="1" applyBorder="1" applyAlignment="1">
      <alignment horizontal="center" vertical="center"/>
    </xf>
    <xf numFmtId="0" fontId="1" fillId="0" borderId="0" xfId="0" applyFont="1" applyBorder="1" applyAlignment="1">
      <alignment horizontal="center" vertical="center"/>
    </xf>
    <xf numFmtId="0" fontId="1" fillId="0" borderId="20" xfId="0" applyFont="1" applyBorder="1" applyAlignment="1">
      <alignment horizontal="center" vertical="center"/>
    </xf>
    <xf numFmtId="0" fontId="1" fillId="0" borderId="10" xfId="0" applyFont="1" applyBorder="1" applyAlignment="1">
      <alignment horizontal="center" vertical="center"/>
    </xf>
    <xf numFmtId="0" fontId="1" fillId="0" borderId="21" xfId="0" applyFont="1" applyBorder="1" applyAlignment="1">
      <alignment horizontal="center" vertical="center"/>
    </xf>
    <xf numFmtId="0" fontId="1" fillId="0" borderId="15" xfId="0" applyFont="1" applyBorder="1" applyAlignment="1">
      <alignment horizontal="center" vertical="center"/>
    </xf>
    <xf numFmtId="0" fontId="0" fillId="0" borderId="0" xfId="0" applyBorder="1" applyAlignment="1">
      <alignment horizontal="center" vertical="top"/>
    </xf>
    <xf numFmtId="0" fontId="1" fillId="0" borderId="20" xfId="0" applyFont="1" applyFill="1" applyBorder="1" applyAlignment="1" applyProtection="1">
      <alignment horizontal="center" vertical="center"/>
      <protection locked="0"/>
    </xf>
    <xf numFmtId="0" fontId="1" fillId="0" borderId="0" xfId="0" applyFont="1" applyFill="1" applyBorder="1" applyAlignment="1">
      <alignment horizontal="center" vertical="center"/>
    </xf>
    <xf numFmtId="0" fontId="1" fillId="0" borderId="21" xfId="0" applyFont="1" applyFill="1" applyBorder="1" applyAlignment="1" applyProtection="1">
      <alignment horizontal="center" vertical="center"/>
      <protection locked="0"/>
    </xf>
    <xf numFmtId="0" fontId="1" fillId="0" borderId="10" xfId="0" applyFont="1" applyFill="1" applyBorder="1" applyAlignment="1">
      <alignment horizontal="center" vertical="center"/>
    </xf>
    <xf numFmtId="0" fontId="1" fillId="0" borderId="14" xfId="0" applyFont="1" applyFill="1" applyBorder="1" applyAlignment="1">
      <alignment horizontal="center" vertical="center"/>
    </xf>
    <xf numFmtId="0" fontId="0" fillId="0" borderId="23" xfId="0" applyBorder="1"/>
    <xf numFmtId="0" fontId="72" fillId="0" borderId="0" xfId="0" applyFont="1" applyBorder="1" applyAlignment="1">
      <alignment horizontal="center" vertical="center"/>
    </xf>
    <xf numFmtId="2" fontId="4" fillId="0" borderId="0"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0" fillId="0" borderId="0" xfId="0" applyNumberFormat="1" applyBorder="1" applyAlignment="1" applyProtection="1">
      <alignment vertical="center"/>
      <protection locked="0"/>
    </xf>
    <xf numFmtId="2" fontId="4" fillId="0" borderId="10" xfId="0" applyNumberFormat="1" applyFont="1" applyBorder="1" applyAlignment="1">
      <alignment horizontal="center" vertical="center"/>
    </xf>
    <xf numFmtId="0" fontId="27" fillId="0" borderId="0" xfId="0" applyFont="1" applyBorder="1" applyAlignment="1">
      <alignment vertical="center"/>
    </xf>
    <xf numFmtId="0" fontId="24" fillId="0" borderId="11" xfId="0" applyFont="1" applyBorder="1" applyAlignment="1">
      <alignment vertical="center"/>
    </xf>
    <xf numFmtId="0" fontId="0" fillId="0" borderId="17" xfId="0" applyBorder="1" applyAlignment="1" applyProtection="1">
      <alignment vertical="center"/>
      <protection locked="0"/>
    </xf>
    <xf numFmtId="0" fontId="0" fillId="0" borderId="14" xfId="0" applyBorder="1" applyAlignment="1" applyProtection="1">
      <alignment vertical="center"/>
      <protection locked="0"/>
    </xf>
    <xf numFmtId="2" fontId="0" fillId="0" borderId="17" xfId="0" applyNumberFormat="1" applyBorder="1" applyAlignment="1" applyProtection="1">
      <alignment vertical="center"/>
      <protection locked="0"/>
    </xf>
    <xf numFmtId="165" fontId="0" fillId="0" borderId="17" xfId="0" applyNumberFormat="1" applyBorder="1" applyAlignment="1">
      <alignment horizontal="center" vertical="center"/>
    </xf>
    <xf numFmtId="0" fontId="45" fillId="0" borderId="14" xfId="0" quotePrefix="1" applyFont="1" applyBorder="1" applyAlignment="1">
      <alignment horizontal="center" vertical="center"/>
    </xf>
    <xf numFmtId="0" fontId="48" fillId="0" borderId="14" xfId="0" applyFont="1" applyBorder="1" applyAlignment="1">
      <alignment horizontal="center" vertical="center"/>
    </xf>
    <xf numFmtId="0" fontId="48" fillId="0" borderId="15" xfId="0" applyFont="1" applyBorder="1" applyAlignment="1">
      <alignment horizontal="center" vertical="center"/>
    </xf>
    <xf numFmtId="0" fontId="30" fillId="0" borderId="18" xfId="0" quotePrefix="1" applyFont="1" applyBorder="1" applyAlignment="1">
      <alignment horizontal="center" vertical="center" wrapText="1"/>
    </xf>
    <xf numFmtId="0" fontId="30" fillId="0" borderId="11" xfId="0" quotePrefix="1" applyFont="1" applyBorder="1" applyAlignment="1">
      <alignment horizontal="center" vertical="center" wrapText="1"/>
    </xf>
    <xf numFmtId="0" fontId="51" fillId="0" borderId="11" xfId="0" quotePrefix="1" applyFont="1" applyBorder="1" applyAlignment="1">
      <alignment horizontal="center" vertical="center" wrapText="1"/>
    </xf>
    <xf numFmtId="0" fontId="1" fillId="0" borderId="20" xfId="0" applyFont="1" applyFill="1" applyBorder="1" applyAlignment="1">
      <alignment horizontal="center" vertical="center"/>
    </xf>
    <xf numFmtId="2" fontId="1" fillId="0" borderId="0" xfId="0" applyNumberFormat="1" applyFont="1" applyFill="1" applyBorder="1" applyAlignment="1">
      <alignment horizontal="center" vertical="center"/>
    </xf>
    <xf numFmtId="2" fontId="1" fillId="0" borderId="20" xfId="0" applyNumberFormat="1" applyFont="1" applyFill="1" applyBorder="1" applyAlignment="1">
      <alignment horizontal="center" vertical="center"/>
    </xf>
    <xf numFmtId="0" fontId="1" fillId="0" borderId="21" xfId="0" applyFont="1" applyFill="1" applyBorder="1" applyAlignment="1">
      <alignment horizontal="center" vertical="center"/>
    </xf>
    <xf numFmtId="2" fontId="1" fillId="0" borderId="21" xfId="0" applyNumberFormat="1" applyFont="1" applyFill="1" applyBorder="1" applyAlignment="1">
      <alignment horizontal="center" vertical="center"/>
    </xf>
    <xf numFmtId="0" fontId="18" fillId="0" borderId="21" xfId="0" applyFont="1" applyBorder="1" applyAlignment="1" applyProtection="1">
      <alignment horizontal="center" vertical="center" wrapText="1"/>
      <protection locked="0"/>
    </xf>
    <xf numFmtId="0" fontId="18" fillId="0" borderId="22" xfId="0" quotePrefix="1" applyFont="1" applyBorder="1" applyAlignment="1">
      <alignment horizontal="center" vertical="center"/>
    </xf>
    <xf numFmtId="0" fontId="17" fillId="0" borderId="24" xfId="0" applyFont="1" applyBorder="1" applyAlignment="1">
      <alignment horizontal="center" vertical="center"/>
    </xf>
    <xf numFmtId="0" fontId="17" fillId="0" borderId="16" xfId="0" applyFont="1" applyBorder="1" applyAlignment="1">
      <alignment horizontal="center" vertical="center"/>
    </xf>
    <xf numFmtId="0" fontId="4" fillId="0" borderId="12" xfId="0" applyFont="1" applyBorder="1" applyAlignment="1" applyProtection="1">
      <alignment horizontal="center" vertical="center"/>
      <protection locked="0"/>
    </xf>
    <xf numFmtId="0" fontId="22" fillId="0" borderId="21" xfId="0" applyFont="1" applyBorder="1" applyAlignment="1" applyProtection="1">
      <alignment horizontal="center" vertical="center"/>
      <protection locked="0"/>
    </xf>
    <xf numFmtId="0" fontId="4" fillId="0" borderId="14" xfId="0" applyFont="1" applyBorder="1" applyAlignment="1" applyProtection="1">
      <alignment horizontal="center" vertical="center"/>
    </xf>
    <xf numFmtId="0" fontId="26" fillId="0" borderId="21" xfId="0" applyFont="1" applyBorder="1" applyAlignment="1">
      <alignment horizontal="center" vertical="center"/>
    </xf>
    <xf numFmtId="0" fontId="13" fillId="0" borderId="12" xfId="0" applyFont="1" applyBorder="1" applyAlignment="1">
      <alignment horizontal="center" vertical="center"/>
    </xf>
    <xf numFmtId="0" fontId="3" fillId="0" borderId="12" xfId="0" applyFont="1" applyBorder="1" applyAlignment="1">
      <alignment horizontal="center" vertical="center"/>
    </xf>
    <xf numFmtId="0" fontId="15" fillId="0" borderId="10" xfId="0" applyFont="1" applyBorder="1" applyAlignment="1">
      <alignment horizontal="center" vertical="center"/>
    </xf>
    <xf numFmtId="2" fontId="20" fillId="0" borderId="20" xfId="0" applyNumberFormat="1" applyFont="1" applyBorder="1" applyAlignment="1" applyProtection="1">
      <alignment horizontal="center" vertical="center"/>
      <protection locked="0"/>
    </xf>
    <xf numFmtId="0" fontId="18" fillId="0" borderId="17" xfId="0" applyFont="1" applyFill="1" applyBorder="1" applyAlignment="1">
      <alignment horizontal="center" vertical="center"/>
    </xf>
    <xf numFmtId="0" fontId="0" fillId="0" borderId="20"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0" borderId="10" xfId="0" quotePrefix="1" applyFill="1" applyBorder="1" applyAlignment="1">
      <alignment horizontal="center" vertical="center"/>
    </xf>
    <xf numFmtId="0" fontId="0" fillId="0" borderId="12"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16" xfId="0" quotePrefix="1" applyBorder="1" applyAlignment="1">
      <alignment horizontal="center" vertical="center"/>
    </xf>
    <xf numFmtId="0" fontId="72" fillId="0" borderId="20" xfId="0" applyFont="1" applyBorder="1" applyAlignment="1">
      <alignment horizontal="center" vertical="center"/>
    </xf>
    <xf numFmtId="0" fontId="28" fillId="0" borderId="0" xfId="0" applyFont="1" applyBorder="1" applyAlignment="1">
      <alignment horizontal="center" vertical="top" wrapText="1"/>
    </xf>
    <xf numFmtId="0" fontId="14" fillId="0" borderId="0" xfId="0" applyFont="1" applyBorder="1" applyAlignment="1">
      <alignment horizontal="right" vertical="center" wrapText="1"/>
    </xf>
    <xf numFmtId="0" fontId="20" fillId="0" borderId="22" xfId="0" quotePrefix="1" applyFont="1" applyBorder="1" applyAlignment="1">
      <alignment horizontal="center" vertical="center"/>
    </xf>
    <xf numFmtId="0" fontId="20" fillId="0" borderId="19" xfId="0" quotePrefix="1" applyFont="1" applyBorder="1" applyAlignment="1">
      <alignment horizontal="center" vertical="center"/>
    </xf>
    <xf numFmtId="0" fontId="4" fillId="0" borderId="20" xfId="0" applyFont="1" applyBorder="1" applyAlignment="1">
      <alignment horizontal="center" vertical="center" wrapText="1"/>
    </xf>
    <xf numFmtId="0" fontId="55" fillId="0" borderId="0" xfId="0" applyFont="1" applyAlignment="1">
      <alignment horizontal="right" vertical="top"/>
    </xf>
    <xf numFmtId="0" fontId="55" fillId="0" borderId="0" xfId="0" applyFont="1"/>
    <xf numFmtId="0" fontId="71" fillId="0" borderId="0" xfId="0" applyFont="1"/>
    <xf numFmtId="0" fontId="19" fillId="0" borderId="0" xfId="0" applyFont="1" applyBorder="1" applyAlignment="1">
      <alignment horizontal="center" vertical="center" wrapText="1"/>
    </xf>
    <xf numFmtId="0" fontId="71" fillId="0" borderId="0" xfId="0" applyFont="1" applyBorder="1" applyAlignment="1">
      <alignment horizontal="right" vertical="center" wrapText="1"/>
    </xf>
    <xf numFmtId="0" fontId="19" fillId="0" borderId="0" xfId="0" applyFont="1" applyAlignment="1">
      <alignment horizontal="center" vertical="center"/>
    </xf>
    <xf numFmtId="0" fontId="20" fillId="0" borderId="22" xfId="0" applyFont="1" applyBorder="1" applyAlignment="1">
      <alignment horizontal="center" vertical="center"/>
    </xf>
    <xf numFmtId="0" fontId="20" fillId="0" borderId="0" xfId="0" applyFont="1" applyBorder="1"/>
    <xf numFmtId="0" fontId="22" fillId="0" borderId="0" xfId="0" quotePrefix="1" applyFont="1" applyBorder="1" applyAlignment="1">
      <alignment horizontal="center"/>
    </xf>
    <xf numFmtId="0" fontId="22" fillId="0" borderId="0" xfId="0" quotePrefix="1" applyFont="1" applyBorder="1"/>
    <xf numFmtId="0" fontId="73" fillId="0" borderId="22" xfId="0" quotePrefix="1" applyFont="1" applyBorder="1" applyAlignment="1">
      <alignment horizontal="center" vertical="top"/>
    </xf>
    <xf numFmtId="0" fontId="66" fillId="0" borderId="20" xfId="0" applyFont="1" applyBorder="1" applyAlignment="1">
      <alignment horizontal="center"/>
    </xf>
    <xf numFmtId="0" fontId="94" fillId="0" borderId="0" xfId="0" applyFont="1" applyAlignment="1">
      <alignment horizontal="right"/>
    </xf>
    <xf numFmtId="0" fontId="57" fillId="0" borderId="0" xfId="0" applyFont="1" applyBorder="1" applyAlignment="1">
      <alignment horizontal="left"/>
    </xf>
    <xf numFmtId="0" fontId="79" fillId="0" borderId="0" xfId="0" applyFont="1" applyBorder="1" applyAlignment="1">
      <alignment horizontal="right"/>
    </xf>
    <xf numFmtId="0" fontId="79" fillId="0" borderId="0" xfId="0" applyFont="1" applyBorder="1"/>
    <xf numFmtId="0" fontId="95" fillId="0" borderId="0" xfId="0" applyFont="1" applyBorder="1"/>
    <xf numFmtId="0" fontId="96" fillId="0" borderId="0" xfId="0" applyFont="1" applyAlignment="1">
      <alignment horizontal="left" vertical="top"/>
    </xf>
    <xf numFmtId="0" fontId="79" fillId="0" borderId="0" xfId="0" applyFont="1"/>
    <xf numFmtId="0" fontId="79" fillId="0" borderId="0" xfId="0" applyFont="1" applyBorder="1" applyAlignment="1">
      <alignment vertical="top"/>
    </xf>
    <xf numFmtId="0" fontId="9" fillId="0" borderId="0" xfId="0" applyFont="1" applyAlignment="1">
      <alignment vertical="top"/>
    </xf>
    <xf numFmtId="1" fontId="45" fillId="0" borderId="0" xfId="0" applyNumberFormat="1" applyFont="1" applyBorder="1" applyAlignment="1">
      <alignment horizontal="center" vertical="center"/>
    </xf>
    <xf numFmtId="1" fontId="14" fillId="0" borderId="0" xfId="0" applyNumberFormat="1" applyFont="1" applyBorder="1" applyAlignment="1" applyProtection="1">
      <alignment horizontal="center" vertical="center"/>
      <protection locked="0"/>
    </xf>
    <xf numFmtId="0" fontId="22" fillId="0" borderId="24" xfId="0" applyFont="1" applyBorder="1" applyAlignment="1">
      <alignment horizontal="center" vertical="center"/>
    </xf>
    <xf numFmtId="0" fontId="0" fillId="0" borderId="23" xfId="0" applyBorder="1" applyAlignment="1">
      <alignment vertical="center"/>
    </xf>
    <xf numFmtId="0" fontId="7" fillId="0" borderId="0" xfId="0" applyFont="1" applyAlignment="1"/>
    <xf numFmtId="0" fontId="9" fillId="0" borderId="0" xfId="0" applyFont="1" applyAlignment="1"/>
    <xf numFmtId="0" fontId="9" fillId="0" borderId="0" xfId="0" applyFont="1"/>
    <xf numFmtId="0" fontId="9" fillId="0" borderId="0" xfId="0" applyFont="1" applyAlignment="1">
      <alignment horizontal="left"/>
    </xf>
    <xf numFmtId="0" fontId="0" fillId="0" borderId="15" xfId="0" applyBorder="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16" xfId="0" applyFont="1" applyBorder="1" applyAlignment="1" applyProtection="1">
      <alignment horizontal="center" vertical="center"/>
      <protection locked="0"/>
    </xf>
    <xf numFmtId="0" fontId="0" fillId="0" borderId="10" xfId="0" applyBorder="1" applyAlignment="1" applyProtection="1">
      <alignment horizontal="center" vertical="center"/>
    </xf>
    <xf numFmtId="0" fontId="0" fillId="0" borderId="15" xfId="0" applyBorder="1" applyAlignment="1" applyProtection="1">
      <alignment horizontal="center" vertical="center"/>
    </xf>
    <xf numFmtId="0" fontId="13" fillId="0" borderId="21" xfId="0" applyFont="1" applyBorder="1" applyAlignment="1" applyProtection="1">
      <alignment horizontal="center" vertical="center"/>
    </xf>
    <xf numFmtId="0" fontId="13" fillId="0" borderId="20" xfId="0" applyFont="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4" fillId="0" borderId="17" xfId="0" applyFont="1" applyFill="1" applyBorder="1" applyAlignment="1">
      <alignment horizontal="center"/>
    </xf>
    <xf numFmtId="0" fontId="4" fillId="0" borderId="14" xfId="0" applyFont="1" applyFill="1" applyBorder="1" applyAlignment="1">
      <alignment horizontal="center"/>
    </xf>
    <xf numFmtId="0" fontId="0" fillId="0" borderId="23" xfId="0" applyBorder="1" applyAlignment="1">
      <alignment horizontal="center" vertical="center"/>
    </xf>
    <xf numFmtId="0" fontId="4" fillId="0" borderId="20" xfId="0" quotePrefix="1" applyFont="1" applyBorder="1" applyAlignment="1">
      <alignment horizontal="center" vertical="center"/>
    </xf>
    <xf numFmtId="0" fontId="0" fillId="0" borderId="12" xfId="0" applyBorder="1" applyAlignment="1">
      <alignment horizontal="center" vertical="center"/>
    </xf>
    <xf numFmtId="0" fontId="15" fillId="0" borderId="22" xfId="0" applyFont="1" applyBorder="1" applyAlignment="1">
      <alignment horizontal="center" vertical="center"/>
    </xf>
    <xf numFmtId="0" fontId="97" fillId="0" borderId="0" xfId="0" applyFont="1" applyAlignment="1"/>
    <xf numFmtId="0" fontId="21" fillId="0" borderId="17" xfId="0" applyFont="1" applyBorder="1" applyAlignment="1">
      <alignment horizontal="center" vertical="center" wrapText="1"/>
    </xf>
    <xf numFmtId="0" fontId="57" fillId="0" borderId="0" xfId="0" applyFont="1" applyAlignment="1" applyProtection="1">
      <alignment horizontal="right"/>
      <protection locked="0"/>
    </xf>
    <xf numFmtId="0" fontId="57" fillId="0" borderId="0" xfId="0" applyFont="1" applyProtection="1">
      <protection locked="0"/>
    </xf>
    <xf numFmtId="0" fontId="57" fillId="0" borderId="0" xfId="0" applyFont="1" applyAlignment="1" applyProtection="1">
      <protection locked="0"/>
    </xf>
    <xf numFmtId="0" fontId="97" fillId="0" borderId="0" xfId="0" applyFont="1" applyAlignment="1">
      <alignment horizontal="right"/>
    </xf>
    <xf numFmtId="0" fontId="57" fillId="0" borderId="0" xfId="0" applyFont="1" applyAlignment="1">
      <alignment horizontal="right"/>
    </xf>
    <xf numFmtId="0" fontId="98" fillId="0" borderId="0" xfId="0" applyFont="1" applyAlignment="1">
      <alignment horizontal="right"/>
    </xf>
    <xf numFmtId="0" fontId="0" fillId="0" borderId="14" xfId="0" applyFill="1" applyBorder="1" applyAlignment="1" applyProtection="1">
      <alignment horizontal="center" vertical="center"/>
      <protection locked="0"/>
    </xf>
    <xf numFmtId="2" fontId="4" fillId="0" borderId="22" xfId="0" applyNumberFormat="1" applyFont="1" applyBorder="1" applyAlignment="1">
      <alignment horizontal="center" vertical="center" wrapText="1"/>
    </xf>
    <xf numFmtId="0" fontId="4" fillId="0" borderId="12" xfId="0" quotePrefix="1" applyFont="1" applyBorder="1" applyAlignment="1" applyProtection="1">
      <alignment horizontal="center" vertical="center"/>
      <protection locked="0"/>
    </xf>
    <xf numFmtId="0" fontId="4" fillId="0" borderId="12" xfId="0" applyFont="1" applyBorder="1" applyAlignment="1">
      <alignment horizontal="center" vertical="center"/>
    </xf>
    <xf numFmtId="2" fontId="4" fillId="0" borderId="22" xfId="0" applyNumberFormat="1" applyFont="1" applyBorder="1" applyAlignment="1">
      <alignment horizontal="center" vertical="center"/>
    </xf>
    <xf numFmtId="2" fontId="4" fillId="0" borderId="21" xfId="0" applyNumberFormat="1" applyFont="1" applyBorder="1" applyAlignment="1">
      <alignment horizontal="center" vertical="center" wrapText="1"/>
    </xf>
    <xf numFmtId="0" fontId="4" fillId="0" borderId="10" xfId="0" quotePrefix="1" applyFont="1" applyBorder="1" applyAlignment="1" applyProtection="1">
      <alignment horizontal="center" vertical="center"/>
      <protection locked="0"/>
    </xf>
    <xf numFmtId="2" fontId="4" fillId="0" borderId="20" xfId="0" applyNumberFormat="1" applyFont="1" applyBorder="1" applyAlignment="1">
      <alignment horizontal="center" vertical="center" wrapText="1"/>
    </xf>
    <xf numFmtId="0" fontId="15" fillId="0" borderId="17" xfId="0" applyFont="1" applyBorder="1" applyAlignment="1">
      <alignment horizontal="center" vertical="center"/>
    </xf>
    <xf numFmtId="0" fontId="13" fillId="0" borderId="16" xfId="0" applyFont="1" applyBorder="1" applyAlignment="1">
      <alignment horizontal="center" vertical="center"/>
    </xf>
    <xf numFmtId="1" fontId="4" fillId="0" borderId="10" xfId="0" applyNumberFormat="1" applyFont="1" applyBorder="1" applyAlignment="1">
      <alignment horizontal="center" vertical="center" wrapText="1"/>
    </xf>
    <xf numFmtId="3" fontId="15" fillId="0" borderId="18" xfId="0" applyNumberFormat="1" applyFont="1" applyBorder="1" applyAlignment="1">
      <alignment horizontal="center" vertical="center"/>
    </xf>
    <xf numFmtId="3" fontId="15" fillId="0" borderId="11" xfId="0" applyNumberFormat="1" applyFont="1" applyBorder="1" applyAlignment="1">
      <alignment horizontal="center" vertical="center"/>
    </xf>
    <xf numFmtId="3" fontId="15" fillId="0" borderId="13" xfId="0" applyNumberFormat="1" applyFont="1" applyBorder="1" applyAlignment="1">
      <alignment horizontal="center" vertical="center"/>
    </xf>
    <xf numFmtId="3" fontId="4" fillId="0" borderId="24" xfId="0" quotePrefix="1" applyNumberFormat="1" applyFont="1" applyBorder="1" applyAlignment="1">
      <alignment horizontal="center" vertical="center"/>
    </xf>
    <xf numFmtId="3" fontId="4" fillId="0" borderId="12" xfId="0" quotePrefix="1" applyNumberFormat="1" applyFont="1" applyBorder="1" applyAlignment="1">
      <alignment horizontal="center" vertical="center"/>
    </xf>
    <xf numFmtId="3" fontId="4" fillId="0" borderId="23" xfId="0" quotePrefix="1" applyNumberFormat="1" applyFont="1" applyBorder="1" applyAlignment="1">
      <alignment horizontal="center" vertical="center"/>
    </xf>
    <xf numFmtId="3" fontId="4" fillId="0" borderId="22" xfId="0" quotePrefix="1" applyNumberFormat="1" applyFont="1" applyBorder="1" applyAlignment="1">
      <alignment horizontal="center" vertical="center"/>
    </xf>
    <xf numFmtId="1" fontId="4" fillId="0" borderId="0" xfId="0" applyNumberFormat="1" applyFont="1" applyBorder="1" applyAlignment="1">
      <alignment horizontal="center" vertical="center"/>
    </xf>
    <xf numFmtId="1" fontId="4" fillId="0" borderId="14" xfId="0" applyNumberFormat="1" applyFont="1" applyBorder="1" applyAlignment="1">
      <alignment horizontal="center" vertical="center"/>
    </xf>
    <xf numFmtId="0" fontId="21" fillId="0" borderId="14" xfId="0" applyFont="1" applyBorder="1" applyAlignment="1" applyProtection="1">
      <alignment horizontal="center" vertical="center" shrinkToFit="1"/>
      <protection locked="0"/>
    </xf>
    <xf numFmtId="1" fontId="4" fillId="0" borderId="15" xfId="0" applyNumberFormat="1" applyFont="1" applyBorder="1" applyAlignment="1">
      <alignment horizontal="center" vertical="center"/>
    </xf>
    <xf numFmtId="1" fontId="4" fillId="0" borderId="17" xfId="0" quotePrefix="1" applyNumberFormat="1" applyFont="1" applyBorder="1" applyAlignment="1">
      <alignment horizontal="center" vertical="center"/>
    </xf>
    <xf numFmtId="1" fontId="4" fillId="0" borderId="0" xfId="0" quotePrefix="1" applyNumberFormat="1" applyFont="1" applyBorder="1" applyAlignment="1">
      <alignment horizontal="center" vertical="center"/>
    </xf>
    <xf numFmtId="165" fontId="4" fillId="0" borderId="0" xfId="0" quotePrefix="1" applyNumberFormat="1" applyFont="1" applyBorder="1" applyAlignment="1">
      <alignment horizontal="center" vertical="center"/>
    </xf>
    <xf numFmtId="0" fontId="21" fillId="0" borderId="0" xfId="0" applyFont="1" applyBorder="1" applyAlignment="1" applyProtection="1">
      <alignment horizontal="center" vertical="center" shrinkToFit="1"/>
      <protection locked="0"/>
    </xf>
    <xf numFmtId="0" fontId="21" fillId="0" borderId="17"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protection locked="0"/>
    </xf>
    <xf numFmtId="0" fontId="9" fillId="0" borderId="0" xfId="0" applyFont="1" applyAlignment="1">
      <alignment horizontal="right"/>
    </xf>
    <xf numFmtId="0" fontId="103" fillId="0" borderId="0" xfId="0" applyFont="1"/>
    <xf numFmtId="0" fontId="57" fillId="0" borderId="0" xfId="0" applyFont="1" applyAlignment="1">
      <alignment horizontal="left"/>
    </xf>
    <xf numFmtId="0" fontId="57" fillId="0" borderId="0" xfId="0" applyFont="1"/>
    <xf numFmtId="0" fontId="8" fillId="0" borderId="0" xfId="0" applyFont="1"/>
    <xf numFmtId="0" fontId="57" fillId="0" borderId="0" xfId="0" applyFont="1" applyAlignment="1"/>
    <xf numFmtId="0" fontId="57" fillId="0" borderId="0" xfId="0" quotePrefix="1" applyFont="1"/>
    <xf numFmtId="0" fontId="57" fillId="0" borderId="0" xfId="0" quotePrefix="1" applyFont="1" applyBorder="1"/>
    <xf numFmtId="0" fontId="57" fillId="0" borderId="0" xfId="0" applyFont="1" applyBorder="1"/>
    <xf numFmtId="0" fontId="57" fillId="0" borderId="0" xfId="0" applyFont="1" applyFill="1" applyBorder="1"/>
    <xf numFmtId="0" fontId="57" fillId="0" borderId="0" xfId="0" applyFont="1" applyBorder="1" applyAlignment="1">
      <alignment horizontal="right"/>
    </xf>
    <xf numFmtId="0" fontId="57" fillId="0" borderId="0" xfId="0" applyFont="1" applyBorder="1" applyAlignment="1">
      <alignment horizontal="right" vertical="top"/>
    </xf>
    <xf numFmtId="0" fontId="57" fillId="0" borderId="0" xfId="0" applyFont="1" applyAlignment="1">
      <alignment vertical="top"/>
    </xf>
    <xf numFmtId="0" fontId="57" fillId="0" borderId="12" xfId="0" applyFont="1" applyBorder="1" applyAlignment="1">
      <alignment horizontal="right" vertical="top"/>
    </xf>
    <xf numFmtId="0" fontId="57" fillId="0" borderId="0" xfId="0" applyFont="1" applyAlignment="1">
      <alignment horizontal="right" vertical="center"/>
    </xf>
    <xf numFmtId="0" fontId="50" fillId="0" borderId="0" xfId="0" applyFont="1"/>
    <xf numFmtId="0" fontId="97" fillId="0" borderId="0" xfId="0" applyFont="1"/>
    <xf numFmtId="0" fontId="79" fillId="0" borderId="0" xfId="0" applyFont="1" applyAlignment="1">
      <alignment horizontal="right"/>
    </xf>
    <xf numFmtId="0" fontId="80" fillId="0" borderId="0" xfId="0" applyFont="1"/>
    <xf numFmtId="0" fontId="98" fillId="0" borderId="0" xfId="0" applyFont="1" applyBorder="1" applyAlignment="1">
      <alignment horizontal="left"/>
    </xf>
    <xf numFmtId="0" fontId="98" fillId="0" borderId="0" xfId="0" applyFont="1" applyBorder="1" applyAlignment="1">
      <alignment horizontal="center"/>
    </xf>
    <xf numFmtId="0" fontId="98" fillId="0" borderId="0" xfId="0" applyFont="1" applyAlignment="1">
      <alignment horizontal="left"/>
    </xf>
    <xf numFmtId="0" fontId="98" fillId="0" borderId="0" xfId="0" applyFont="1" applyAlignment="1">
      <alignment horizontal="center"/>
    </xf>
    <xf numFmtId="0" fontId="47" fillId="0" borderId="0" xfId="0" applyFont="1"/>
    <xf numFmtId="0" fontId="9" fillId="0" borderId="0" xfId="0" applyFont="1" applyBorder="1" applyAlignment="1"/>
    <xf numFmtId="0" fontId="80" fillId="0" borderId="0" xfId="0" applyFont="1" applyAlignment="1">
      <alignment horizontal="left"/>
    </xf>
    <xf numFmtId="0" fontId="50" fillId="0" borderId="0" xfId="0" applyFont="1" applyAlignment="1">
      <alignment horizontal="left"/>
    </xf>
    <xf numFmtId="0" fontId="50" fillId="0" borderId="0" xfId="0" applyFont="1" applyAlignment="1">
      <alignment horizontal="right"/>
    </xf>
    <xf numFmtId="0" fontId="104" fillId="0" borderId="0" xfId="0" applyFont="1"/>
    <xf numFmtId="0" fontId="80" fillId="0" borderId="0" xfId="0" applyFont="1" applyBorder="1" applyAlignment="1">
      <alignment vertical="top"/>
    </xf>
    <xf numFmtId="0" fontId="47" fillId="0" borderId="0" xfId="0" applyFont="1" applyBorder="1" applyAlignment="1" applyProtection="1">
      <alignment horizontal="right"/>
      <protection locked="0"/>
    </xf>
    <xf numFmtId="0" fontId="47" fillId="0" borderId="0" xfId="0" applyFont="1" applyProtection="1">
      <protection locked="0"/>
    </xf>
    <xf numFmtId="0" fontId="47" fillId="0" borderId="0" xfId="0" applyFont="1" applyAlignment="1" applyProtection="1">
      <alignment horizontal="right"/>
      <protection locked="0"/>
    </xf>
    <xf numFmtId="0" fontId="50" fillId="0" borderId="0" xfId="0" applyFont="1" applyBorder="1" applyAlignment="1" applyProtection="1">
      <alignment horizontal="right"/>
      <protection locked="0"/>
    </xf>
    <xf numFmtId="0" fontId="55" fillId="0" borderId="12" xfId="0" applyFont="1" applyBorder="1" applyAlignment="1">
      <alignment horizontal="right"/>
    </xf>
    <xf numFmtId="0" fontId="50" fillId="0" borderId="0" xfId="0" applyFont="1" applyAlignment="1" applyProtection="1">
      <alignment horizontal="right"/>
      <protection locked="0"/>
    </xf>
    <xf numFmtId="0" fontId="50" fillId="0" borderId="0" xfId="0" applyFont="1" applyProtection="1">
      <protection locked="0"/>
    </xf>
    <xf numFmtId="0" fontId="80" fillId="0" borderId="0" xfId="0" applyFont="1" applyProtection="1">
      <protection locked="0"/>
    </xf>
    <xf numFmtId="0" fontId="80" fillId="0" borderId="0" xfId="0" applyFont="1" applyAlignment="1" applyProtection="1">
      <alignment horizontal="left" vertical="top"/>
      <protection locked="0"/>
    </xf>
    <xf numFmtId="0" fontId="9" fillId="0" borderId="0" xfId="0" applyFont="1" applyAlignment="1" applyProtection="1">
      <alignment horizontal="right"/>
      <protection locked="0"/>
    </xf>
    <xf numFmtId="0" fontId="57" fillId="0" borderId="0" xfId="0" applyFont="1" applyAlignment="1" applyProtection="1">
      <alignment horizontal="left" vertical="top"/>
      <protection locked="0"/>
    </xf>
    <xf numFmtId="0" fontId="57" fillId="0" borderId="12" xfId="0" applyFont="1" applyBorder="1" applyAlignment="1" applyProtection="1">
      <alignment horizontal="right" vertical="top"/>
      <protection locked="0"/>
    </xf>
    <xf numFmtId="0" fontId="57" fillId="0" borderId="0" xfId="0" applyFont="1" applyAlignment="1" applyProtection="1">
      <alignment vertical="top"/>
      <protection locked="0"/>
    </xf>
    <xf numFmtId="0" fontId="104" fillId="0" borderId="0" xfId="0" applyFont="1" applyProtection="1">
      <protection locked="0"/>
    </xf>
    <xf numFmtId="0" fontId="80" fillId="0" borderId="0" xfId="0" applyFont="1" applyBorder="1" applyProtection="1">
      <protection locked="0"/>
    </xf>
    <xf numFmtId="0" fontId="80" fillId="0" borderId="0" xfId="0" applyFont="1" applyAlignment="1" applyProtection="1">
      <alignment vertical="top"/>
      <protection locked="0"/>
    </xf>
    <xf numFmtId="0" fontId="9" fillId="0" borderId="0" xfId="0" applyFont="1" applyBorder="1" applyAlignment="1" applyProtection="1">
      <alignment horizontal="right" vertical="center"/>
      <protection locked="0"/>
    </xf>
    <xf numFmtId="0" fontId="55" fillId="0" borderId="0" xfId="0" applyFont="1" applyFill="1" applyBorder="1" applyAlignment="1">
      <alignment vertical="center"/>
    </xf>
    <xf numFmtId="0" fontId="55" fillId="0" borderId="0" xfId="0" applyFont="1" applyBorder="1" applyAlignment="1">
      <alignment horizontal="right"/>
    </xf>
    <xf numFmtId="0" fontId="106" fillId="0" borderId="0" xfId="0" applyFont="1" applyAlignment="1">
      <alignment horizontal="right"/>
    </xf>
    <xf numFmtId="0" fontId="55" fillId="0" borderId="0" xfId="0" applyFont="1" applyBorder="1" applyAlignment="1">
      <alignment horizontal="right" vertical="center"/>
    </xf>
    <xf numFmtId="0" fontId="106" fillId="0" borderId="0" xfId="0" applyFont="1" applyBorder="1" applyAlignment="1" applyProtection="1">
      <alignment horizontal="right" vertical="center"/>
      <protection locked="0"/>
    </xf>
    <xf numFmtId="0" fontId="55" fillId="0" borderId="0" xfId="0" applyFont="1" applyAlignment="1" applyProtection="1">
      <alignment horizontal="left"/>
      <protection locked="0"/>
    </xf>
    <xf numFmtId="0" fontId="55" fillId="0" borderId="0" xfId="0" applyFont="1" applyProtection="1">
      <protection locked="0"/>
    </xf>
    <xf numFmtId="0" fontId="55" fillId="0" borderId="0" xfId="0" applyFont="1" applyFill="1" applyBorder="1"/>
    <xf numFmtId="0" fontId="57" fillId="0" borderId="14" xfId="0" applyFont="1" applyBorder="1" applyProtection="1">
      <protection locked="0"/>
    </xf>
    <xf numFmtId="0" fontId="57" fillId="0" borderId="0" xfId="0" applyFont="1" applyAlignment="1" applyProtection="1">
      <alignment horizontal="center"/>
      <protection locked="0"/>
    </xf>
    <xf numFmtId="0" fontId="47" fillId="0" borderId="0" xfId="0" applyFont="1" applyFill="1" applyBorder="1" applyAlignment="1" applyProtection="1">
      <alignment vertical="center"/>
      <protection locked="0"/>
    </xf>
    <xf numFmtId="0" fontId="107" fillId="0" borderId="0" xfId="0" applyFont="1" applyBorder="1"/>
    <xf numFmtId="0" fontId="107" fillId="0" borderId="0" xfId="0" applyFont="1" applyAlignment="1">
      <alignment horizontal="right"/>
    </xf>
    <xf numFmtId="0" fontId="107" fillId="0" borderId="0" xfId="0" applyFont="1"/>
    <xf numFmtId="2" fontId="97" fillId="0" borderId="0" xfId="0" applyNumberFormat="1" applyFont="1" applyBorder="1" applyAlignment="1">
      <alignment horizontal="right" vertical="center"/>
    </xf>
    <xf numFmtId="0" fontId="97" fillId="0" borderId="0" xfId="0" applyFont="1" applyBorder="1" applyAlignment="1">
      <alignment horizontal="right"/>
    </xf>
    <xf numFmtId="0" fontId="18" fillId="0" borderId="22" xfId="0" applyFont="1" applyBorder="1" applyAlignment="1">
      <alignment horizontal="center" vertical="center" wrapText="1" shrinkToFit="1"/>
    </xf>
    <xf numFmtId="0" fontId="31" fillId="0" borderId="22" xfId="0" applyFont="1" applyBorder="1" applyAlignment="1">
      <alignment horizontal="center" vertical="center" wrapText="1" shrinkToFit="1"/>
    </xf>
    <xf numFmtId="0" fontId="31" fillId="0" borderId="0" xfId="0" applyFont="1" applyBorder="1" applyAlignment="1">
      <alignment horizontal="center" vertical="center" wrapText="1"/>
    </xf>
    <xf numFmtId="0" fontId="4" fillId="0" borderId="14" xfId="0" quotePrefix="1" applyFont="1" applyBorder="1" applyAlignment="1">
      <alignment horizontal="center" vertical="center"/>
    </xf>
    <xf numFmtId="0" fontId="14" fillId="0" borderId="21" xfId="0" applyFont="1" applyBorder="1" applyAlignment="1" applyProtection="1">
      <alignment horizontal="center" vertical="center"/>
      <protection locked="0"/>
    </xf>
    <xf numFmtId="0" fontId="24" fillId="0" borderId="0" xfId="0" applyFont="1" applyBorder="1" applyAlignment="1">
      <alignment vertical="center"/>
    </xf>
    <xf numFmtId="0" fontId="28" fillId="0" borderId="24" xfId="0" applyFont="1" applyBorder="1" applyAlignment="1">
      <alignment vertical="center"/>
    </xf>
    <xf numFmtId="0" fontId="16" fillId="0" borderId="19" xfId="0" applyFont="1" applyBorder="1" applyAlignment="1">
      <alignment horizontal="center" vertical="center"/>
    </xf>
    <xf numFmtId="0" fontId="108" fillId="0" borderId="19" xfId="0" applyFont="1" applyBorder="1" applyAlignment="1">
      <alignment horizontal="center" vertical="center"/>
    </xf>
    <xf numFmtId="0" fontId="38" fillId="0" borderId="16" xfId="0" applyFont="1" applyBorder="1" applyAlignment="1">
      <alignment horizontal="center" vertical="center" wrapText="1"/>
    </xf>
    <xf numFmtId="0" fontId="18" fillId="0" borderId="17" xfId="0" applyFont="1" applyBorder="1" applyAlignment="1">
      <alignment horizontal="center" vertical="center" shrinkToFit="1"/>
    </xf>
    <xf numFmtId="0" fontId="18" fillId="0" borderId="14" xfId="0" applyFont="1" applyBorder="1" applyAlignment="1">
      <alignment horizontal="center" vertical="center" shrinkToFit="1"/>
    </xf>
    <xf numFmtId="0" fontId="28" fillId="0" borderId="22" xfId="0" applyFont="1" applyBorder="1" applyAlignment="1">
      <alignment vertical="center"/>
    </xf>
    <xf numFmtId="0" fontId="28" fillId="0" borderId="12" xfId="0" applyFont="1" applyBorder="1" applyAlignment="1">
      <alignment horizontal="center" vertical="center"/>
    </xf>
    <xf numFmtId="0" fontId="98" fillId="0" borderId="0" xfId="0" applyFont="1" applyAlignment="1">
      <alignment vertical="center"/>
    </xf>
    <xf numFmtId="0" fontId="98" fillId="0" borderId="0" xfId="0" applyFont="1" applyAlignment="1">
      <alignment horizontal="center" vertical="center" wrapText="1"/>
    </xf>
    <xf numFmtId="0" fontId="4"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2" xfId="0" applyFont="1" applyBorder="1" applyAlignment="1">
      <alignment horizontal="center" vertical="center" wrapText="1"/>
    </xf>
    <xf numFmtId="0" fontId="18" fillId="0" borderId="0" xfId="0" quotePrefix="1" applyFont="1" applyAlignment="1">
      <alignment horizontal="center" vertical="center"/>
    </xf>
    <xf numFmtId="0" fontId="18" fillId="0" borderId="20" xfId="0" quotePrefix="1" applyFont="1" applyBorder="1" applyAlignment="1">
      <alignment horizontal="center" vertical="center"/>
    </xf>
    <xf numFmtId="1" fontId="4" fillId="0" borderId="14" xfId="0" quotePrefix="1" applyNumberFormat="1" applyFont="1" applyBorder="1" applyAlignment="1">
      <alignment horizontal="center" vertical="center"/>
    </xf>
    <xf numFmtId="0" fontId="3" fillId="0" borderId="0" xfId="0" applyFont="1" applyFill="1" applyBorder="1" applyAlignment="1">
      <alignment horizontal="center" vertical="center"/>
    </xf>
    <xf numFmtId="1" fontId="4" fillId="0" borderId="22" xfId="0" applyNumberFormat="1" applyFont="1" applyBorder="1" applyAlignment="1">
      <alignment horizontal="center" vertical="center"/>
    </xf>
    <xf numFmtId="0" fontId="0" fillId="0" borderId="21" xfId="0" applyFill="1" applyBorder="1" applyAlignment="1">
      <alignment horizontal="center" vertical="center"/>
    </xf>
    <xf numFmtId="2" fontId="20" fillId="0" borderId="17" xfId="0" quotePrefix="1" applyNumberFormat="1" applyFont="1" applyBorder="1" applyAlignment="1">
      <alignment horizontal="center" vertical="center"/>
    </xf>
    <xf numFmtId="2" fontId="20" fillId="0" borderId="16" xfId="0" quotePrefix="1" applyNumberFormat="1" applyFont="1" applyBorder="1" applyAlignment="1">
      <alignment horizontal="center" vertical="center"/>
    </xf>
    <xf numFmtId="165" fontId="3" fillId="0" borderId="20" xfId="0" applyNumberFormat="1" applyFont="1" applyBorder="1" applyAlignment="1">
      <alignment horizontal="center" vertical="center"/>
    </xf>
    <xf numFmtId="1" fontId="3" fillId="0" borderId="20" xfId="0" applyNumberFormat="1" applyFont="1" applyBorder="1" applyAlignment="1">
      <alignment horizontal="center" vertical="center"/>
    </xf>
    <xf numFmtId="0" fontId="57" fillId="0" borderId="0" xfId="0" applyFont="1" applyAlignment="1" applyProtection="1">
      <alignment horizontal="right" vertical="center"/>
      <protection locked="0"/>
    </xf>
    <xf numFmtId="0" fontId="47" fillId="0" borderId="0" xfId="0" applyFont="1" applyBorder="1" applyAlignment="1" applyProtection="1">
      <alignment horizontal="left" vertical="top"/>
      <protection locked="0"/>
    </xf>
    <xf numFmtId="2" fontId="91" fillId="0" borderId="10" xfId="0" applyNumberFormat="1" applyFont="1" applyBorder="1" applyAlignment="1">
      <alignment horizontal="center" vertical="center"/>
    </xf>
    <xf numFmtId="2" fontId="91" fillId="0" borderId="21" xfId="0" applyNumberFormat="1" applyFont="1" applyBorder="1" applyAlignment="1" applyProtection="1">
      <alignment horizontal="center" vertical="center"/>
      <protection locked="0"/>
    </xf>
    <xf numFmtId="2" fontId="91" fillId="0" borderId="10" xfId="0" applyNumberFormat="1" applyFont="1" applyBorder="1" applyAlignment="1" applyProtection="1">
      <alignment horizontal="center" vertical="center"/>
      <protection locked="0"/>
    </xf>
    <xf numFmtId="2" fontId="91" fillId="24" borderId="20" xfId="0" applyNumberFormat="1" applyFont="1" applyFill="1" applyBorder="1" applyAlignment="1">
      <alignment horizontal="center" vertical="center"/>
    </xf>
    <xf numFmtId="2" fontId="91" fillId="24" borderId="21" xfId="0" applyNumberFormat="1" applyFont="1" applyFill="1" applyBorder="1" applyAlignment="1">
      <alignment horizontal="center" vertical="center"/>
    </xf>
    <xf numFmtId="164" fontId="1" fillId="0" borderId="10" xfId="0" applyNumberFormat="1" applyFont="1" applyBorder="1" applyAlignment="1">
      <alignment horizontal="center" vertical="center"/>
    </xf>
    <xf numFmtId="164" fontId="1" fillId="0" borderId="21" xfId="0" applyNumberFormat="1" applyFont="1" applyBorder="1" applyAlignment="1">
      <alignment horizontal="center" vertical="center"/>
    </xf>
    <xf numFmtId="0" fontId="45" fillId="0" borderId="14" xfId="0" applyFont="1" applyBorder="1" applyAlignment="1">
      <alignment horizontal="center" vertical="center"/>
    </xf>
    <xf numFmtId="164" fontId="3" fillId="0" borderId="17" xfId="0" applyNumberFormat="1" applyFont="1" applyBorder="1" applyAlignment="1">
      <alignment horizontal="center" vertical="center"/>
    </xf>
    <xf numFmtId="164" fontId="24" fillId="0" borderId="16" xfId="0" applyNumberFormat="1" applyFont="1" applyBorder="1" applyAlignment="1">
      <alignment horizontal="center" vertical="center"/>
    </xf>
    <xf numFmtId="0" fontId="4" fillId="0" borderId="21" xfId="0" applyFont="1" applyBorder="1" applyAlignment="1">
      <alignment horizontal="center" vertical="center" wrapText="1"/>
    </xf>
    <xf numFmtId="0" fontId="15" fillId="0" borderId="10" xfId="0" applyFont="1" applyBorder="1" applyAlignment="1">
      <alignment horizontal="left"/>
    </xf>
    <xf numFmtId="0" fontId="17" fillId="0" borderId="20" xfId="0" applyFont="1" applyBorder="1" applyAlignment="1">
      <alignment horizontal="left" vertical="center"/>
    </xf>
    <xf numFmtId="0" fontId="57" fillId="0" borderId="0" xfId="0" applyFont="1" applyAlignment="1">
      <alignment horizontal="center"/>
    </xf>
    <xf numFmtId="0" fontId="77" fillId="0" borderId="17" xfId="0" applyFont="1" applyBorder="1" applyAlignment="1" applyProtection="1">
      <alignment horizontal="center" vertical="center"/>
      <protection locked="0"/>
    </xf>
    <xf numFmtId="1" fontId="1" fillId="0" borderId="22" xfId="0" applyNumberFormat="1" applyFont="1" applyBorder="1" applyAlignment="1">
      <alignment horizontal="center" vertical="center"/>
    </xf>
    <xf numFmtId="1" fontId="1" fillId="0" borderId="20" xfId="0" applyNumberFormat="1" applyFont="1" applyBorder="1" applyAlignment="1">
      <alignment horizontal="center" vertical="center"/>
    </xf>
    <xf numFmtId="1" fontId="1" fillId="0" borderId="21" xfId="0" applyNumberFormat="1" applyFont="1" applyBorder="1" applyAlignment="1">
      <alignment horizontal="center" vertical="center"/>
    </xf>
    <xf numFmtId="0" fontId="3" fillId="0" borderId="22" xfId="0" applyFont="1" applyBorder="1" applyAlignment="1">
      <alignment horizontal="center" vertical="center"/>
    </xf>
    <xf numFmtId="0" fontId="3" fillId="0" borderId="20" xfId="0" applyFont="1" applyFill="1" applyBorder="1" applyAlignment="1" applyProtection="1">
      <alignment horizontal="center" vertical="center"/>
      <protection locked="0"/>
    </xf>
    <xf numFmtId="0" fontId="3" fillId="0" borderId="17" xfId="0" applyFont="1" applyFill="1" applyBorder="1" applyAlignment="1" applyProtection="1">
      <alignment horizontal="center" vertical="center"/>
      <protection locked="0"/>
    </xf>
    <xf numFmtId="0" fontId="22" fillId="0" borderId="19" xfId="0" applyFont="1" applyBorder="1" applyAlignment="1">
      <alignment horizontal="center" vertical="center" wrapText="1"/>
    </xf>
    <xf numFmtId="0" fontId="22" fillId="0" borderId="12" xfId="0" applyFont="1" applyBorder="1" applyAlignment="1">
      <alignment horizontal="left" vertical="center"/>
    </xf>
    <xf numFmtId="0" fontId="46" fillId="0" borderId="0" xfId="0" applyFont="1" applyBorder="1" applyAlignment="1">
      <alignment horizontal="left" vertical="center"/>
    </xf>
    <xf numFmtId="2" fontId="28" fillId="0" borderId="0" xfId="0" applyNumberFormat="1" applyFont="1" applyAlignment="1" applyProtection="1">
      <alignment horizontal="center" vertical="center"/>
      <protection locked="0"/>
    </xf>
    <xf numFmtId="1" fontId="28" fillId="0" borderId="20" xfId="0" applyNumberFormat="1" applyFont="1" applyBorder="1" applyAlignment="1" applyProtection="1">
      <alignment horizontal="center" vertical="center"/>
      <protection locked="0"/>
    </xf>
    <xf numFmtId="1" fontId="28" fillId="0" borderId="20" xfId="0" applyNumberFormat="1" applyFont="1" applyBorder="1" applyAlignment="1">
      <alignment horizontal="center" vertical="center"/>
    </xf>
    <xf numFmtId="0" fontId="17" fillId="0" borderId="20" xfId="0" applyFont="1" applyBorder="1" applyAlignment="1" applyProtection="1">
      <alignment horizontal="left" vertical="center"/>
      <protection locked="0"/>
    </xf>
    <xf numFmtId="2" fontId="0" fillId="0" borderId="0" xfId="0" applyNumberFormat="1" applyAlignment="1" applyProtection="1">
      <alignment horizontal="center" vertical="center"/>
      <protection locked="0"/>
    </xf>
    <xf numFmtId="2" fontId="0" fillId="0" borderId="0" xfId="0" applyNumberFormat="1" applyAlignment="1">
      <alignment horizontal="center" vertical="center"/>
    </xf>
    <xf numFmtId="0" fontId="28" fillId="0" borderId="24" xfId="0" applyFont="1" applyBorder="1" applyAlignment="1" applyProtection="1">
      <alignment horizontal="center" vertical="center"/>
      <protection locked="0"/>
    </xf>
    <xf numFmtId="0" fontId="4" fillId="0" borderId="17" xfId="0" quotePrefix="1" applyFont="1" applyBorder="1" applyAlignment="1">
      <alignment horizontal="center" vertical="center"/>
    </xf>
    <xf numFmtId="0" fontId="4" fillId="0" borderId="0" xfId="0" quotePrefix="1" applyFont="1" applyBorder="1" applyAlignment="1">
      <alignment horizontal="center" vertical="center"/>
    </xf>
    <xf numFmtId="0" fontId="24" fillId="0" borderId="19" xfId="0" applyFont="1" applyBorder="1" applyAlignment="1">
      <alignment horizontal="left" vertical="center"/>
    </xf>
    <xf numFmtId="0" fontId="45" fillId="0" borderId="14" xfId="0" applyFont="1" applyBorder="1" applyAlignment="1">
      <alignment horizontal="center" vertical="center" wrapText="1"/>
    </xf>
    <xf numFmtId="0" fontId="20" fillId="0" borderId="20" xfId="0" quotePrefix="1" applyFont="1" applyBorder="1" applyAlignment="1">
      <alignment horizontal="center" vertical="center"/>
    </xf>
    <xf numFmtId="0" fontId="28" fillId="0" borderId="20" xfId="0" applyFont="1" applyBorder="1" applyAlignment="1">
      <alignment horizontal="left" vertical="center" wrapText="1"/>
    </xf>
    <xf numFmtId="0" fontId="0" fillId="0" borderId="24" xfId="0" applyBorder="1" applyAlignment="1">
      <alignment vertical="center"/>
    </xf>
    <xf numFmtId="0" fontId="0" fillId="0" borderId="12" xfId="0" applyBorder="1" applyAlignment="1">
      <alignment vertical="center"/>
    </xf>
    <xf numFmtId="0" fontId="130" fillId="0" borderId="0" xfId="0" applyFont="1" applyBorder="1"/>
    <xf numFmtId="0" fontId="131" fillId="0" borderId="0" xfId="0" applyFont="1"/>
    <xf numFmtId="164" fontId="1" fillId="0" borderId="0" xfId="0" applyNumberFormat="1" applyFont="1" applyBorder="1" applyAlignment="1">
      <alignment horizontal="center" vertical="center"/>
    </xf>
    <xf numFmtId="164" fontId="1" fillId="0" borderId="20" xfId="0" applyNumberFormat="1" applyFont="1" applyBorder="1" applyAlignment="1">
      <alignment horizontal="center" vertical="center"/>
    </xf>
    <xf numFmtId="0" fontId="35" fillId="0" borderId="0" xfId="0" applyFont="1" applyBorder="1" applyAlignment="1"/>
    <xf numFmtId="0" fontId="4" fillId="0" borderId="0" xfId="0" applyFont="1" applyFill="1" applyBorder="1" applyAlignment="1">
      <alignment horizontal="center" vertical="center"/>
    </xf>
    <xf numFmtId="0" fontId="0" fillId="0" borderId="14" xfId="0" quotePrefix="1" applyBorder="1" applyAlignment="1">
      <alignment horizontal="center" vertical="center"/>
    </xf>
    <xf numFmtId="0" fontId="80" fillId="0" borderId="12" xfId="0" applyFont="1" applyBorder="1" applyAlignment="1" applyProtection="1">
      <alignment wrapText="1"/>
      <protection locked="0"/>
    </xf>
    <xf numFmtId="0" fontId="15" fillId="0" borderId="19" xfId="0" applyFont="1" applyFill="1" applyBorder="1" applyAlignment="1">
      <alignment horizontal="center" vertical="center"/>
    </xf>
    <xf numFmtId="2" fontId="91" fillId="0" borderId="20" xfId="0" applyNumberFormat="1" applyFont="1" applyBorder="1" applyAlignment="1" applyProtection="1">
      <alignment horizontal="center" vertical="center"/>
      <protection locked="0"/>
    </xf>
    <xf numFmtId="2" fontId="91" fillId="0" borderId="0" xfId="0" applyNumberFormat="1" applyFont="1" applyBorder="1" applyAlignment="1" applyProtection="1">
      <alignment horizontal="center" vertical="center"/>
      <protection locked="0"/>
    </xf>
    <xf numFmtId="0" fontId="13" fillId="0" borderId="20" xfId="0" applyFont="1" applyBorder="1" applyAlignment="1">
      <alignment horizontal="center" vertical="center" wrapText="1"/>
    </xf>
    <xf numFmtId="0" fontId="18" fillId="0" borderId="18" xfId="0" applyFont="1" applyFill="1" applyBorder="1" applyAlignment="1">
      <alignment horizontal="center" vertical="center"/>
    </xf>
    <xf numFmtId="0" fontId="79" fillId="0" borderId="0" xfId="0" applyFont="1" applyBorder="1" applyAlignment="1">
      <alignment horizontal="left" vertical="top"/>
    </xf>
    <xf numFmtId="0" fontId="9" fillId="0" borderId="0" xfId="0" applyFont="1" applyAlignment="1">
      <alignment horizontal="left" vertical="top"/>
    </xf>
    <xf numFmtId="0" fontId="79" fillId="0" borderId="0" xfId="0" applyFont="1" applyFill="1" applyBorder="1" applyAlignment="1">
      <alignment horizontal="left" vertical="center"/>
    </xf>
    <xf numFmtId="0" fontId="96" fillId="0" borderId="0" xfId="0" applyFont="1"/>
    <xf numFmtId="0" fontId="96" fillId="0" borderId="0" xfId="0" applyFont="1" applyBorder="1"/>
    <xf numFmtId="0" fontId="66" fillId="0" borderId="14" xfId="0" applyFont="1" applyBorder="1"/>
    <xf numFmtId="0" fontId="66" fillId="0" borderId="14" xfId="0" applyFont="1" applyBorder="1" applyAlignment="1">
      <alignment vertical="center"/>
    </xf>
    <xf numFmtId="0" fontId="66" fillId="0" borderId="15" xfId="0" applyFont="1" applyBorder="1"/>
    <xf numFmtId="0" fontId="66" fillId="0" borderId="14" xfId="0" applyFont="1" applyBorder="1" applyAlignment="1">
      <alignment wrapText="1"/>
    </xf>
    <xf numFmtId="0" fontId="66" fillId="0" borderId="14" xfId="0" applyFont="1" applyBorder="1" applyAlignment="1">
      <alignment horizontal="left"/>
    </xf>
    <xf numFmtId="0" fontId="20" fillId="0" borderId="21" xfId="0" applyFont="1" applyBorder="1" applyAlignment="1">
      <alignment horizontal="center"/>
    </xf>
    <xf numFmtId="0" fontId="67" fillId="0" borderId="0" xfId="0" applyFont="1" applyBorder="1" applyAlignment="1">
      <alignment horizontal="center" wrapText="1"/>
    </xf>
    <xf numFmtId="0" fontId="67" fillId="0" borderId="10"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0" xfId="0" applyFont="1" applyAlignment="1">
      <alignment horizontal="center" vertical="top"/>
    </xf>
    <xf numFmtId="0" fontId="67" fillId="0" borderId="10" xfId="0" applyFont="1" applyBorder="1" applyAlignment="1">
      <alignment horizontal="center" wrapText="1"/>
    </xf>
    <xf numFmtId="0" fontId="134" fillId="0" borderId="19" xfId="0" applyFont="1" applyBorder="1" applyAlignment="1">
      <alignment horizontal="center" vertical="center"/>
    </xf>
    <xf numFmtId="0" fontId="21" fillId="0" borderId="11" xfId="0" applyFont="1" applyBorder="1" applyAlignment="1">
      <alignment horizontal="center" vertical="center" wrapText="1" shrinkToFit="1"/>
    </xf>
    <xf numFmtId="2" fontId="18" fillId="0" borderId="19" xfId="0" applyNumberFormat="1" applyFont="1" applyBorder="1" applyAlignment="1">
      <alignment horizontal="center" vertical="center" wrapText="1"/>
    </xf>
    <xf numFmtId="0" fontId="66" fillId="0" borderId="0" xfId="0" applyFont="1" applyBorder="1" applyAlignment="1">
      <alignment vertical="top" wrapText="1"/>
    </xf>
    <xf numFmtId="0" fontId="20" fillId="0" borderId="18" xfId="0" quotePrefix="1" applyFont="1" applyBorder="1" applyAlignment="1">
      <alignment horizontal="center" vertical="center"/>
    </xf>
    <xf numFmtId="2" fontId="91" fillId="0" borderId="15" xfId="0" applyNumberFormat="1" applyFont="1" applyBorder="1" applyAlignment="1">
      <alignment horizontal="center" vertical="center"/>
    </xf>
    <xf numFmtId="0" fontId="80" fillId="0" borderId="0" xfId="0" applyFont="1" applyBorder="1" applyAlignment="1" applyProtection="1">
      <alignment horizontal="right"/>
      <protection locked="0"/>
    </xf>
    <xf numFmtId="0" fontId="80" fillId="0" borderId="0" xfId="0" applyFont="1" applyAlignment="1"/>
    <xf numFmtId="0" fontId="21" fillId="0" borderId="19" xfId="0" applyFont="1" applyBorder="1" applyAlignment="1">
      <alignment horizontal="center" vertical="center" wrapText="1"/>
    </xf>
    <xf numFmtId="0" fontId="138" fillId="0" borderId="0" xfId="0" applyFont="1"/>
    <xf numFmtId="0" fontId="138" fillId="0" borderId="0" xfId="0" applyFont="1" applyAlignment="1">
      <alignment vertical="center"/>
    </xf>
    <xf numFmtId="0" fontId="17" fillId="0" borderId="20" xfId="0" applyFont="1" applyFill="1" applyBorder="1" applyAlignment="1">
      <alignment horizontal="left" vertical="center"/>
    </xf>
    <xf numFmtId="0" fontId="20" fillId="0" borderId="24" xfId="0" quotePrefix="1" applyFont="1" applyBorder="1" applyAlignment="1">
      <alignment horizontal="center" vertical="center"/>
    </xf>
    <xf numFmtId="0" fontId="77" fillId="0" borderId="21" xfId="0" applyFont="1" applyBorder="1" applyAlignment="1" applyProtection="1">
      <alignment horizontal="center" vertical="center"/>
      <protection locked="0"/>
    </xf>
    <xf numFmtId="0" fontId="140" fillId="0" borderId="14" xfId="0" applyFont="1" applyBorder="1"/>
    <xf numFmtId="0" fontId="69" fillId="0" borderId="14" xfId="0" applyFont="1" applyBorder="1"/>
    <xf numFmtId="0" fontId="20" fillId="0" borderId="14" xfId="0" applyFont="1" applyBorder="1" applyAlignment="1">
      <alignment horizontal="left" vertical="center"/>
    </xf>
    <xf numFmtId="0" fontId="24" fillId="0" borderId="0" xfId="0" applyFont="1" applyBorder="1" applyAlignment="1">
      <alignment horizontal="left" vertical="center"/>
    </xf>
    <xf numFmtId="0" fontId="0" fillId="0" borderId="20" xfId="0" applyBorder="1" applyAlignment="1" applyProtection="1">
      <alignment vertical="center"/>
      <protection locked="0"/>
    </xf>
    <xf numFmtId="2" fontId="24" fillId="0" borderId="19" xfId="0" applyNumberFormat="1" applyFont="1" applyBorder="1" applyAlignment="1" applyProtection="1">
      <alignment horizontal="center" vertical="center"/>
    </xf>
    <xf numFmtId="2" fontId="0" fillId="0" borderId="20" xfId="0" applyNumberFormat="1" applyBorder="1" applyAlignment="1" applyProtection="1">
      <alignment vertical="center"/>
      <protection locked="0"/>
    </xf>
    <xf numFmtId="2" fontId="0" fillId="0" borderId="20" xfId="0" applyNumberFormat="1" applyBorder="1" applyAlignment="1">
      <alignment horizontal="center"/>
    </xf>
    <xf numFmtId="2" fontId="4" fillId="0" borderId="20" xfId="0" applyNumberFormat="1" applyFont="1" applyFill="1" applyBorder="1" applyAlignment="1">
      <alignment horizontal="center" vertical="center"/>
    </xf>
    <xf numFmtId="0" fontId="0" fillId="0" borderId="22" xfId="0" applyBorder="1" applyAlignment="1" applyProtection="1">
      <alignment vertical="center"/>
      <protection locked="0"/>
    </xf>
    <xf numFmtId="2" fontId="21" fillId="0" borderId="17" xfId="0" applyNumberFormat="1" applyFont="1" applyBorder="1" applyAlignment="1">
      <alignment horizontal="left" vertical="center"/>
    </xf>
    <xf numFmtId="0" fontId="18" fillId="0" borderId="13" xfId="0" applyFont="1" applyBorder="1" applyAlignment="1">
      <alignment horizontal="center" vertical="top" wrapText="1"/>
    </xf>
    <xf numFmtId="0" fontId="98" fillId="0" borderId="0" xfId="0" applyFont="1" applyAlignment="1">
      <alignment horizontal="right" vertical="center"/>
    </xf>
    <xf numFmtId="0" fontId="4" fillId="0" borderId="10" xfId="0" applyFont="1" applyFill="1" applyBorder="1" applyAlignment="1">
      <alignment horizontal="center" vertical="center"/>
    </xf>
    <xf numFmtId="0" fontId="23" fillId="0" borderId="23" xfId="0" quotePrefix="1" applyFont="1" applyFill="1" applyBorder="1" applyAlignment="1">
      <alignment horizontal="center" vertical="center"/>
    </xf>
    <xf numFmtId="0" fontId="23" fillId="0" borderId="24" xfId="0" quotePrefix="1" applyFont="1" applyFill="1" applyBorder="1" applyAlignment="1">
      <alignment horizontal="center" vertical="center"/>
    </xf>
    <xf numFmtId="1" fontId="20" fillId="0" borderId="21" xfId="0" applyNumberFormat="1" applyFont="1" applyBorder="1" applyAlignment="1">
      <alignment horizontal="center" vertical="center"/>
    </xf>
    <xf numFmtId="1" fontId="28" fillId="0" borderId="22" xfId="0" applyNumberFormat="1" applyFont="1" applyBorder="1" applyAlignment="1">
      <alignment horizontal="center" vertical="center"/>
    </xf>
    <xf numFmtId="0" fontId="9" fillId="0" borderId="0" xfId="0" applyFont="1" applyAlignment="1" applyProtection="1">
      <alignment horizontal="center"/>
      <protection locked="0"/>
    </xf>
    <xf numFmtId="2" fontId="4" fillId="0" borderId="0" xfId="0" applyNumberFormat="1" applyFont="1" applyBorder="1"/>
    <xf numFmtId="0" fontId="7" fillId="0" borderId="24" xfId="0" quotePrefix="1" applyFont="1" applyBorder="1" applyAlignment="1">
      <alignment horizontal="center" vertical="center"/>
    </xf>
    <xf numFmtId="0" fontId="7" fillId="0" borderId="22" xfId="0" quotePrefix="1" applyFont="1" applyBorder="1" applyAlignment="1">
      <alignment horizontal="center" vertical="center"/>
    </xf>
    <xf numFmtId="0" fontId="7" fillId="0" borderId="12" xfId="0" quotePrefix="1" applyFont="1" applyBorder="1" applyAlignment="1">
      <alignment horizontal="center" vertical="center"/>
    </xf>
    <xf numFmtId="0" fontId="7" fillId="0" borderId="22" xfId="0" quotePrefix="1" applyFont="1" applyBorder="1" applyAlignment="1">
      <alignment horizontal="center" vertical="center" wrapText="1"/>
    </xf>
    <xf numFmtId="0" fontId="7" fillId="0" borderId="23" xfId="0" quotePrefix="1" applyFont="1" applyBorder="1" applyAlignment="1">
      <alignment horizontal="center" vertical="center" wrapText="1"/>
    </xf>
    <xf numFmtId="0" fontId="7" fillId="0" borderId="23" xfId="0" quotePrefix="1" applyFont="1" applyBorder="1" applyAlignment="1">
      <alignment horizontal="center" vertical="center"/>
    </xf>
    <xf numFmtId="0" fontId="9" fillId="0" borderId="0" xfId="0" applyFont="1" applyBorder="1" applyAlignment="1">
      <alignment horizontal="right"/>
    </xf>
    <xf numFmtId="0" fontId="24" fillId="0" borderId="19" xfId="0" applyFont="1" applyBorder="1" applyAlignment="1" applyProtection="1">
      <alignment horizontal="left" vertical="center"/>
      <protection locked="0"/>
    </xf>
    <xf numFmtId="0" fontId="15" fillId="0" borderId="12" xfId="0" applyFont="1" applyBorder="1" applyAlignment="1">
      <alignment horizontal="right" vertical="center"/>
    </xf>
    <xf numFmtId="0" fontId="57" fillId="0" borderId="12" xfId="0" applyFont="1" applyBorder="1" applyAlignment="1">
      <alignment vertical="center"/>
    </xf>
    <xf numFmtId="0" fontId="57" fillId="0" borderId="0" xfId="0" applyFont="1" applyAlignment="1" applyProtection="1">
      <alignment horizontal="right" vertical="top"/>
      <protection locked="0"/>
    </xf>
    <xf numFmtId="0" fontId="9" fillId="0" borderId="0" xfId="0" applyFont="1" applyAlignment="1" applyProtection="1">
      <alignment vertical="top"/>
      <protection locked="0"/>
    </xf>
    <xf numFmtId="0" fontId="141" fillId="0" borderId="0" xfId="0" applyFont="1"/>
    <xf numFmtId="0" fontId="27" fillId="0" borderId="15" xfId="0" applyFont="1" applyBorder="1" applyAlignment="1">
      <alignment horizontal="left" vertical="top" wrapText="1"/>
    </xf>
    <xf numFmtId="0" fontId="73" fillId="0" borderId="21" xfId="0" applyFont="1" applyBorder="1" applyAlignment="1">
      <alignment horizontal="center" vertical="top" wrapText="1"/>
    </xf>
    <xf numFmtId="0" fontId="66" fillId="0" borderId="24" xfId="0" quotePrefix="1" applyFont="1" applyBorder="1" applyAlignment="1">
      <alignment horizontal="center" vertical="center"/>
    </xf>
    <xf numFmtId="0" fontId="7" fillId="0" borderId="0" xfId="0" applyFont="1" applyAlignment="1">
      <alignment vertical="center"/>
    </xf>
    <xf numFmtId="0" fontId="7" fillId="0" borderId="10" xfId="0" applyFont="1" applyBorder="1" applyAlignment="1">
      <alignment vertical="center"/>
    </xf>
    <xf numFmtId="0" fontId="7" fillId="0" borderId="0" xfId="0" applyFont="1" applyBorder="1" applyAlignment="1">
      <alignment vertical="center"/>
    </xf>
    <xf numFmtId="0" fontId="13" fillId="0" borderId="10" xfId="0" quotePrefix="1" applyFont="1" applyBorder="1" applyAlignment="1">
      <alignment horizontal="right" vertical="center"/>
    </xf>
    <xf numFmtId="0" fontId="28" fillId="0" borderId="0" xfId="0" applyFont="1" applyAlignment="1">
      <alignment horizontal="center" vertical="center"/>
    </xf>
    <xf numFmtId="0" fontId="3" fillId="0" borderId="20" xfId="0" applyFont="1" applyBorder="1" applyAlignment="1">
      <alignment vertical="center"/>
    </xf>
    <xf numFmtId="0" fontId="22" fillId="0" borderId="20" xfId="0" applyFont="1" applyBorder="1" applyAlignment="1">
      <alignment vertical="center"/>
    </xf>
    <xf numFmtId="0" fontId="28" fillId="0" borderId="20" xfId="0" quotePrefix="1" applyFont="1" applyBorder="1" applyAlignment="1">
      <alignment horizontal="center" vertical="center"/>
    </xf>
    <xf numFmtId="0" fontId="47" fillId="0" borderId="12" xfId="0" applyFont="1" applyBorder="1" applyAlignment="1">
      <alignment vertical="center"/>
    </xf>
    <xf numFmtId="0" fontId="55" fillId="0" borderId="0" xfId="0" applyFont="1" applyAlignment="1">
      <alignment horizontal="right" vertical="center"/>
    </xf>
    <xf numFmtId="0" fontId="55" fillId="0" borderId="0" xfId="0" applyFont="1" applyAlignment="1">
      <alignment horizontal="left" vertical="center"/>
    </xf>
    <xf numFmtId="0" fontId="135" fillId="0" borderId="0" xfId="0" applyFont="1" applyAlignment="1">
      <alignment vertical="center"/>
    </xf>
    <xf numFmtId="0" fontId="9" fillId="0" borderId="0" xfId="0" applyFont="1" applyAlignment="1">
      <alignment vertical="center"/>
    </xf>
    <xf numFmtId="0" fontId="136" fillId="0" borderId="0" xfId="0" applyFont="1" applyAlignment="1">
      <alignment vertical="center"/>
    </xf>
    <xf numFmtId="0" fontId="22" fillId="0" borderId="21" xfId="0" applyFont="1" applyBorder="1" applyAlignment="1">
      <alignment horizontal="center" vertical="center"/>
    </xf>
    <xf numFmtId="0" fontId="16" fillId="0" borderId="17" xfId="0" applyFont="1" applyBorder="1" applyAlignment="1" applyProtection="1">
      <alignment horizontal="center" vertical="center"/>
      <protection locked="0"/>
    </xf>
    <xf numFmtId="0" fontId="21" fillId="0" borderId="0" xfId="0" applyFont="1" applyBorder="1" applyAlignment="1">
      <alignment horizontal="center" vertical="center"/>
    </xf>
    <xf numFmtId="0" fontId="42" fillId="0" borderId="20" xfId="0" applyFont="1" applyBorder="1" applyAlignment="1">
      <alignment horizontal="center" vertical="center" wrapText="1"/>
    </xf>
    <xf numFmtId="1" fontId="0" fillId="0" borderId="0" xfId="0" quotePrefix="1" applyNumberFormat="1" applyBorder="1" applyAlignment="1" applyProtection="1">
      <alignment horizontal="center" vertical="center"/>
      <protection locked="0"/>
    </xf>
    <xf numFmtId="1" fontId="40" fillId="0" borderId="11" xfId="0" applyNumberFormat="1" applyFont="1" applyBorder="1" applyAlignment="1">
      <alignment horizontal="center" vertical="center"/>
    </xf>
    <xf numFmtId="1" fontId="0" fillId="0" borderId="0" xfId="0" quotePrefix="1" applyNumberFormat="1" applyBorder="1" applyAlignment="1">
      <alignment horizontal="center" vertical="center"/>
    </xf>
    <xf numFmtId="1" fontId="0" fillId="0" borderId="17" xfId="0" quotePrefix="1" applyNumberFormat="1" applyFill="1" applyBorder="1" applyAlignment="1">
      <alignment horizontal="center" vertical="center"/>
    </xf>
    <xf numFmtId="3" fontId="142" fillId="0" borderId="21" xfId="0" applyNumberFormat="1" applyFont="1" applyBorder="1" applyAlignment="1">
      <alignment horizontal="center" vertical="center" wrapText="1"/>
    </xf>
    <xf numFmtId="0" fontId="78" fillId="0" borderId="20" xfId="0" applyFont="1" applyBorder="1" applyAlignment="1">
      <alignment horizontal="center" vertical="center"/>
    </xf>
    <xf numFmtId="0" fontId="78" fillId="0" borderId="20"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0" xfId="0" applyFont="1" applyAlignment="1">
      <alignment horizontal="center" vertical="center"/>
    </xf>
    <xf numFmtId="0" fontId="17" fillId="0" borderId="20" xfId="0" applyFont="1" applyBorder="1" applyAlignment="1" applyProtection="1">
      <alignment horizontal="center" vertical="center" wrapText="1"/>
      <protection locked="0"/>
    </xf>
    <xf numFmtId="0" fontId="58" fillId="0" borderId="0" xfId="0" applyFont="1" applyAlignment="1">
      <alignment horizontal="center" vertical="center"/>
    </xf>
    <xf numFmtId="0" fontId="7" fillId="0" borderId="0" xfId="0" applyFont="1" applyBorder="1" applyAlignment="1">
      <alignment horizontal="center" vertical="center"/>
    </xf>
    <xf numFmtId="0" fontId="17" fillId="0" borderId="20" xfId="0" applyFont="1" applyBorder="1" applyAlignment="1" applyProtection="1">
      <alignment horizontal="center" vertical="center"/>
      <protection locked="0"/>
    </xf>
    <xf numFmtId="0" fontId="73" fillId="0" borderId="14" xfId="0" applyFont="1" applyBorder="1" applyAlignment="1">
      <alignment horizontal="center" vertical="center"/>
    </xf>
    <xf numFmtId="0" fontId="91" fillId="0" borderId="20" xfId="38" applyFont="1" applyFill="1" applyBorder="1" applyAlignment="1">
      <alignment horizontal="center" vertical="center"/>
    </xf>
    <xf numFmtId="0" fontId="27" fillId="0" borderId="17" xfId="0" applyFont="1" applyBorder="1" applyAlignment="1">
      <alignment horizontal="left" vertical="center"/>
    </xf>
    <xf numFmtId="0" fontId="77" fillId="0" borderId="14" xfId="0" applyFont="1" applyBorder="1" applyAlignment="1">
      <alignment horizontal="left" vertical="center"/>
    </xf>
    <xf numFmtId="0" fontId="13" fillId="0" borderId="14" xfId="0" applyFont="1" applyBorder="1" applyAlignment="1">
      <alignment horizontal="left" vertical="center"/>
    </xf>
    <xf numFmtId="0" fontId="15" fillId="0" borderId="14" xfId="0" applyFont="1" applyBorder="1" applyAlignment="1">
      <alignment horizontal="left" vertical="center"/>
    </xf>
    <xf numFmtId="0" fontId="11" fillId="0" borderId="17" xfId="0" applyFont="1" applyBorder="1" applyAlignment="1">
      <alignment horizontal="left" vertical="center"/>
    </xf>
    <xf numFmtId="0" fontId="73" fillId="0" borderId="0" xfId="0" applyFont="1" applyBorder="1" applyAlignment="1">
      <alignment horizontal="left" vertical="center"/>
    </xf>
    <xf numFmtId="0" fontId="66" fillId="0" borderId="14" xfId="0" applyFont="1" applyBorder="1" applyAlignment="1">
      <alignment horizontal="left" vertical="center"/>
    </xf>
    <xf numFmtId="0" fontId="13" fillId="0" borderId="0" xfId="0" applyFont="1" applyBorder="1" applyAlignment="1">
      <alignment horizontal="left" vertical="center"/>
    </xf>
    <xf numFmtId="0" fontId="11" fillId="0" borderId="24" xfId="0" applyFont="1" applyBorder="1" applyAlignment="1">
      <alignment horizontal="left" vertical="center"/>
    </xf>
    <xf numFmtId="0" fontId="73" fillId="0" borderId="12" xfId="0" applyFont="1" applyBorder="1" applyAlignment="1">
      <alignment horizontal="left" vertical="center"/>
    </xf>
    <xf numFmtId="0" fontId="66" fillId="0" borderId="22" xfId="0" applyFont="1" applyBorder="1" applyAlignment="1">
      <alignment horizontal="left" vertical="center"/>
    </xf>
    <xf numFmtId="0" fontId="27" fillId="0" borderId="14" xfId="0" applyFont="1" applyBorder="1" applyAlignment="1">
      <alignment horizontal="left" vertical="center"/>
    </xf>
    <xf numFmtId="0" fontId="22" fillId="0" borderId="20" xfId="0" applyFont="1" applyFill="1" applyBorder="1" applyAlignment="1">
      <alignment horizontal="center" vertical="center"/>
    </xf>
    <xf numFmtId="0" fontId="21" fillId="0" borderId="0" xfId="0" applyFont="1" applyBorder="1" applyAlignment="1" applyProtection="1">
      <alignment horizontal="left" vertical="center"/>
      <protection locked="0"/>
    </xf>
    <xf numFmtId="0" fontId="143" fillId="0" borderId="0" xfId="0" applyFont="1" applyAlignment="1" applyProtection="1">
      <alignment horizontal="right"/>
      <protection locked="0"/>
    </xf>
    <xf numFmtId="0" fontId="144" fillId="0" borderId="19" xfId="0" quotePrefix="1" applyFont="1" applyBorder="1" applyAlignment="1">
      <alignment horizontal="center" vertical="center"/>
    </xf>
    <xf numFmtId="0" fontId="144" fillId="0" borderId="11" xfId="0" quotePrefix="1" applyFont="1" applyBorder="1" applyAlignment="1">
      <alignment horizontal="center" vertical="center"/>
    </xf>
    <xf numFmtId="0" fontId="144" fillId="0" borderId="13" xfId="0" quotePrefix="1" applyFont="1" applyBorder="1" applyAlignment="1">
      <alignment horizontal="center" vertical="center"/>
    </xf>
    <xf numFmtId="0" fontId="144" fillId="0" borderId="18" xfId="0" quotePrefix="1" applyFont="1" applyBorder="1" applyAlignment="1">
      <alignment horizontal="center" vertical="center"/>
    </xf>
    <xf numFmtId="0" fontId="80" fillId="0" borderId="0" xfId="0" applyFont="1" applyBorder="1" applyAlignment="1" applyProtection="1">
      <alignment horizontal="left" vertical="top"/>
      <protection locked="0"/>
    </xf>
    <xf numFmtId="0" fontId="144" fillId="0" borderId="11" xfId="0" quotePrefix="1" applyFont="1" applyFill="1" applyBorder="1" applyAlignment="1">
      <alignment horizontal="center" vertical="center"/>
    </xf>
    <xf numFmtId="0" fontId="20" fillId="0" borderId="11" xfId="0" quotePrefix="1" applyFont="1" applyFill="1" applyBorder="1" applyAlignment="1">
      <alignment horizontal="center" vertical="center"/>
    </xf>
    <xf numFmtId="2" fontId="28" fillId="0" borderId="23" xfId="0" applyNumberFormat="1" applyFont="1" applyBorder="1" applyAlignment="1" applyProtection="1">
      <alignment horizontal="center" vertical="center"/>
      <protection locked="0"/>
    </xf>
    <xf numFmtId="2" fontId="28" fillId="0" borderId="23" xfId="0" applyNumberFormat="1" applyFont="1" applyBorder="1" applyAlignment="1">
      <alignment horizontal="center" vertical="center"/>
    </xf>
    <xf numFmtId="2" fontId="24" fillId="0" borderId="16" xfId="0" applyNumberFormat="1" applyFont="1" applyBorder="1" applyAlignment="1">
      <alignment horizontal="center" vertical="center"/>
    </xf>
    <xf numFmtId="2" fontId="24" fillId="0" borderId="10" xfId="0" applyNumberFormat="1" applyFont="1" applyBorder="1" applyAlignment="1">
      <alignment horizontal="center" vertical="center"/>
    </xf>
    <xf numFmtId="2" fontId="24" fillId="0" borderId="15" xfId="0" applyNumberFormat="1" applyFont="1" applyBorder="1" applyAlignment="1">
      <alignment horizontal="center" vertical="center"/>
    </xf>
    <xf numFmtId="2" fontId="4" fillId="0" borderId="17" xfId="0" applyNumberFormat="1" applyFont="1" applyBorder="1" applyAlignment="1" applyProtection="1">
      <alignment horizontal="center" vertical="center"/>
      <protection locked="0"/>
    </xf>
    <xf numFmtId="2" fontId="4" fillId="0" borderId="0" xfId="0" applyNumberFormat="1" applyFont="1" applyBorder="1" applyAlignment="1" applyProtection="1">
      <alignment horizontal="center" vertical="center"/>
      <protection locked="0"/>
    </xf>
    <xf numFmtId="2" fontId="4" fillId="0" borderId="16" xfId="0" applyNumberFormat="1" applyFont="1" applyBorder="1" applyAlignment="1" applyProtection="1">
      <alignment horizontal="center" vertical="center"/>
      <protection locked="0"/>
    </xf>
    <xf numFmtId="2" fontId="4" fillId="0" borderId="10" xfId="0" applyNumberFormat="1" applyFont="1" applyBorder="1" applyAlignment="1" applyProtection="1">
      <alignment horizontal="center" vertical="center"/>
      <protection locked="0"/>
    </xf>
    <xf numFmtId="2" fontId="4" fillId="0" borderId="15" xfId="0" applyNumberFormat="1" applyFont="1" applyBorder="1" applyAlignment="1" applyProtection="1">
      <alignment horizontal="center" vertical="center"/>
      <protection locked="0"/>
    </xf>
    <xf numFmtId="2" fontId="28" fillId="0" borderId="0" xfId="0" applyNumberFormat="1" applyFont="1" applyBorder="1" applyAlignment="1">
      <alignment horizontal="center"/>
    </xf>
    <xf numFmtId="2" fontId="4" fillId="0" borderId="0" xfId="0" applyNumberFormat="1" applyFont="1" applyBorder="1" applyAlignment="1">
      <alignment horizontal="center"/>
    </xf>
    <xf numFmtId="2" fontId="4" fillId="0" borderId="14" xfId="0" applyNumberFormat="1" applyFont="1" applyBorder="1" applyAlignment="1">
      <alignment horizontal="center"/>
    </xf>
    <xf numFmtId="2" fontId="28" fillId="0" borderId="14" xfId="0" applyNumberFormat="1" applyFont="1" applyBorder="1" applyAlignment="1">
      <alignment horizontal="center"/>
    </xf>
    <xf numFmtId="0" fontId="57" fillId="0" borderId="0" xfId="0" applyFont="1" applyBorder="1" applyProtection="1">
      <protection locked="0"/>
    </xf>
    <xf numFmtId="0" fontId="29" fillId="0" borderId="10" xfId="0" applyFont="1" applyBorder="1" applyAlignment="1">
      <alignment horizontal="center" vertical="center"/>
    </xf>
    <xf numFmtId="0" fontId="72" fillId="0" borderId="0" xfId="38" applyFont="1" applyFill="1" applyBorder="1" applyAlignment="1">
      <alignment horizontal="center" vertical="center"/>
    </xf>
    <xf numFmtId="0" fontId="22" fillId="0" borderId="22" xfId="0" applyFont="1" applyBorder="1" applyAlignment="1">
      <alignment horizontal="center" vertical="center"/>
    </xf>
    <xf numFmtId="0" fontId="22" fillId="0" borderId="21" xfId="0" applyFont="1" applyFill="1" applyBorder="1" applyAlignment="1">
      <alignment horizontal="center" vertical="center"/>
    </xf>
    <xf numFmtId="0" fontId="72" fillId="0" borderId="16" xfId="38" applyFont="1" applyFill="1" applyBorder="1" applyAlignment="1">
      <alignment horizontal="center" vertical="center"/>
    </xf>
    <xf numFmtId="0" fontId="72" fillId="0" borderId="10" xfId="38" applyFont="1" applyFill="1" applyBorder="1" applyAlignment="1">
      <alignment horizontal="center" vertical="center"/>
    </xf>
    <xf numFmtId="0" fontId="29" fillId="0" borderId="16" xfId="0" applyFont="1" applyBorder="1" applyAlignment="1">
      <alignment horizontal="center" vertical="center"/>
    </xf>
    <xf numFmtId="2" fontId="24" fillId="0" borderId="19" xfId="0" applyNumberFormat="1" applyFont="1" applyBorder="1" applyAlignment="1" applyProtection="1">
      <alignment horizontal="center" vertical="center"/>
      <protection locked="0"/>
    </xf>
    <xf numFmtId="0" fontId="145" fillId="0" borderId="14" xfId="0" applyFont="1" applyBorder="1" applyAlignment="1">
      <alignment horizontal="left" vertical="center"/>
    </xf>
    <xf numFmtId="0" fontId="146" fillId="0" borderId="20" xfId="38" applyFont="1" applyFill="1" applyBorder="1" applyAlignment="1">
      <alignment horizontal="center" vertical="center"/>
    </xf>
    <xf numFmtId="2" fontId="3" fillId="0" borderId="14" xfId="0" applyNumberFormat="1" applyFont="1" applyBorder="1" applyAlignment="1">
      <alignment horizontal="center" vertical="center"/>
    </xf>
    <xf numFmtId="0" fontId="145" fillId="0" borderId="15" xfId="0" applyFont="1" applyBorder="1" applyAlignment="1">
      <alignment horizontal="left" vertical="center"/>
    </xf>
    <xf numFmtId="0" fontId="146" fillId="0" borderId="21" xfId="38" applyFont="1" applyFill="1" applyBorder="1" applyAlignment="1">
      <alignment horizontal="center" vertical="center"/>
    </xf>
    <xf numFmtId="2" fontId="3" fillId="0" borderId="15" xfId="0" applyNumberFormat="1" applyFont="1" applyBorder="1" applyAlignment="1">
      <alignment horizontal="center" vertical="center"/>
    </xf>
    <xf numFmtId="0" fontId="50" fillId="0" borderId="0" xfId="0" applyFont="1" applyAlignment="1" applyProtection="1">
      <alignment horizontal="right" vertical="center"/>
      <protection locked="0"/>
    </xf>
    <xf numFmtId="0" fontId="50" fillId="0" borderId="0" xfId="0" applyFont="1" applyAlignment="1" applyProtection="1">
      <alignment horizontal="left" vertical="center"/>
      <protection locked="0"/>
    </xf>
    <xf numFmtId="0" fontId="99" fillId="0" borderId="0" xfId="0" applyFont="1" applyAlignment="1" applyProtection="1">
      <alignment vertical="center"/>
      <protection locked="0"/>
    </xf>
    <xf numFmtId="0" fontId="18" fillId="0" borderId="21" xfId="0" quotePrefix="1" applyFont="1" applyBorder="1" applyAlignment="1">
      <alignment vertical="center" wrapText="1"/>
    </xf>
    <xf numFmtId="0" fontId="0" fillId="0" borderId="24" xfId="0" applyBorder="1"/>
    <xf numFmtId="0" fontId="4" fillId="0" borderId="17" xfId="0" quotePrefix="1" applyFont="1" applyFill="1" applyBorder="1" applyAlignment="1">
      <alignment horizontal="center" vertical="center"/>
    </xf>
    <xf numFmtId="2" fontId="4" fillId="0" borderId="20" xfId="0" applyNumberFormat="1"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21" xfId="0" applyFont="1" applyFill="1" applyBorder="1" applyAlignment="1" applyProtection="1">
      <alignment horizontal="center" vertical="center"/>
      <protection locked="0"/>
    </xf>
    <xf numFmtId="0" fontId="3" fillId="0" borderId="10" xfId="0" applyFont="1" applyFill="1" applyBorder="1" applyAlignment="1">
      <alignment horizontal="center" vertical="center"/>
    </xf>
    <xf numFmtId="0" fontId="3"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2" xfId="0" applyFont="1" applyBorder="1" applyAlignment="1">
      <alignment horizontal="center" vertical="center"/>
    </xf>
    <xf numFmtId="0" fontId="21" fillId="24" borderId="20" xfId="0" applyFont="1" applyFill="1" applyBorder="1" applyAlignment="1">
      <alignment horizontal="center" vertical="center" wrapText="1"/>
    </xf>
    <xf numFmtId="0" fontId="21" fillId="24" borderId="21" xfId="0" applyFont="1" applyFill="1" applyBorder="1" applyAlignment="1">
      <alignment horizontal="center" vertical="center" wrapText="1"/>
    </xf>
    <xf numFmtId="0" fontId="96" fillId="0" borderId="12" xfId="0" applyFont="1" applyBorder="1" applyAlignment="1" applyProtection="1">
      <alignment vertical="top" wrapText="1"/>
      <protection locked="0"/>
    </xf>
    <xf numFmtId="0" fontId="96" fillId="0" borderId="0" xfId="0" applyFont="1" applyBorder="1" applyAlignment="1" applyProtection="1">
      <alignment vertical="top" wrapText="1"/>
      <protection locked="0"/>
    </xf>
    <xf numFmtId="0" fontId="4" fillId="0" borderId="0" xfId="0" applyFont="1" applyAlignment="1">
      <alignment horizontal="center"/>
    </xf>
    <xf numFmtId="0" fontId="4" fillId="0" borderId="14" xfId="0" applyFont="1" applyFill="1" applyBorder="1" applyAlignment="1">
      <alignment horizontal="center" vertical="center"/>
    </xf>
    <xf numFmtId="0" fontId="4" fillId="0" borderId="17" xfId="0" applyFont="1" applyFill="1" applyBorder="1" applyAlignment="1">
      <alignment horizontal="center" vertical="center"/>
    </xf>
    <xf numFmtId="0" fontId="96" fillId="0" borderId="0" xfId="0" applyFont="1" applyAlignment="1">
      <alignment horizontal="right"/>
    </xf>
    <xf numFmtId="0" fontId="66" fillId="0" borderId="0" xfId="0" applyFont="1"/>
    <xf numFmtId="0" fontId="18" fillId="0" borderId="21" xfId="0" quotePrefix="1" applyFont="1" applyBorder="1" applyAlignment="1">
      <alignment horizontal="center" vertical="center" wrapText="1"/>
    </xf>
    <xf numFmtId="0" fontId="13" fillId="0" borderId="23" xfId="0" applyFont="1" applyBorder="1" applyAlignment="1" applyProtection="1">
      <alignment horizontal="center" vertical="center"/>
      <protection locked="0"/>
    </xf>
    <xf numFmtId="0" fontId="96" fillId="0" borderId="0" xfId="0" applyFont="1" applyBorder="1" applyAlignment="1" applyProtection="1">
      <protection locked="0"/>
    </xf>
    <xf numFmtId="2" fontId="0" fillId="0" borderId="0" xfId="0" applyNumberFormat="1" applyBorder="1" applyAlignment="1">
      <alignment horizontal="center" vertical="top"/>
    </xf>
    <xf numFmtId="0" fontId="13" fillId="0" borderId="15"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55" fillId="0" borderId="0" xfId="0" applyFont="1" applyBorder="1" applyAlignment="1" applyProtection="1">
      <alignment vertical="top" wrapText="1"/>
      <protection locked="0"/>
    </xf>
    <xf numFmtId="0" fontId="55" fillId="0" borderId="0" xfId="0" applyFont="1" applyBorder="1" applyAlignment="1">
      <alignment vertical="top" wrapText="1"/>
    </xf>
    <xf numFmtId="0" fontId="55" fillId="0" borderId="0" xfId="0" applyFont="1" applyBorder="1" applyAlignment="1">
      <alignment wrapText="1"/>
    </xf>
    <xf numFmtId="0" fontId="20" fillId="0" borderId="17" xfId="0" applyFont="1" applyBorder="1" applyAlignment="1">
      <alignment horizontal="center" vertical="center"/>
    </xf>
    <xf numFmtId="0" fontId="55" fillId="0" borderId="0" xfId="0" applyFont="1" applyAlignment="1" applyProtection="1">
      <alignment vertical="top" wrapText="1"/>
      <protection locked="0"/>
    </xf>
    <xf numFmtId="0" fontId="17" fillId="0" borderId="16" xfId="0" applyFont="1" applyBorder="1" applyAlignment="1" applyProtection="1">
      <alignment vertical="center"/>
      <protection locked="0"/>
    </xf>
    <xf numFmtId="0" fontId="55" fillId="0" borderId="0" xfId="0" applyFont="1" applyAlignment="1" applyProtection="1">
      <alignment horizontal="right"/>
      <protection locked="0"/>
    </xf>
    <xf numFmtId="0" fontId="11" fillId="0" borderId="24" xfId="0" quotePrefix="1" applyFont="1" applyBorder="1" applyAlignment="1">
      <alignment vertical="center"/>
    </xf>
    <xf numFmtId="0" fontId="11" fillId="0" borderId="17" xfId="0" quotePrefix="1" applyFont="1" applyBorder="1" applyAlignment="1">
      <alignment vertical="center"/>
    </xf>
    <xf numFmtId="0" fontId="3" fillId="0" borderId="0" xfId="0" applyFont="1" applyBorder="1" applyAlignment="1">
      <alignment horizontal="left" vertical="center"/>
    </xf>
    <xf numFmtId="0" fontId="3" fillId="0" borderId="20" xfId="0" applyFont="1" applyFill="1" applyBorder="1" applyAlignment="1">
      <alignment horizontal="center" vertical="center"/>
    </xf>
    <xf numFmtId="0" fontId="3" fillId="0" borderId="14" xfId="0" applyFont="1" applyFill="1" applyBorder="1" applyAlignment="1">
      <alignment horizontal="center" vertical="center"/>
    </xf>
    <xf numFmtId="0" fontId="21" fillId="0" borderId="15" xfId="0" applyFont="1" applyFill="1" applyBorder="1" applyAlignment="1">
      <alignment horizontal="center" vertical="center"/>
    </xf>
    <xf numFmtId="0" fontId="35" fillId="0" borderId="0" xfId="0" applyFont="1" applyBorder="1" applyAlignment="1">
      <alignment horizontal="left" vertical="center"/>
    </xf>
    <xf numFmtId="0" fontId="36" fillId="0" borderId="0" xfId="0" applyFont="1" applyBorder="1" applyAlignment="1" applyProtection="1">
      <alignment horizontal="right" vertical="center"/>
      <protection locked="0"/>
    </xf>
    <xf numFmtId="0" fontId="15" fillId="0" borderId="0" xfId="0" applyFont="1" applyBorder="1" applyAlignment="1" applyProtection="1">
      <alignment horizontal="right" vertical="center"/>
      <protection locked="0"/>
    </xf>
    <xf numFmtId="0" fontId="0" fillId="0" borderId="0" xfId="0" applyAlignment="1">
      <alignment horizontal="left" vertical="center"/>
    </xf>
    <xf numFmtId="0" fontId="147" fillId="0" borderId="0" xfId="0" applyFont="1" applyAlignment="1">
      <alignment horizontal="right"/>
    </xf>
    <xf numFmtId="0" fontId="98" fillId="0" borderId="0" xfId="0" applyFont="1" applyAlignment="1"/>
    <xf numFmtId="0" fontId="31" fillId="0" borderId="19" xfId="0" applyFont="1" applyBorder="1" applyAlignment="1">
      <alignment horizontal="center" vertical="center" wrapText="1"/>
    </xf>
    <xf numFmtId="0" fontId="28" fillId="0" borderId="0" xfId="0" applyFont="1" applyProtection="1">
      <protection locked="0"/>
    </xf>
    <xf numFmtId="0" fontId="47" fillId="0" borderId="0" xfId="0" applyFont="1" applyBorder="1" applyAlignment="1">
      <alignment horizontal="left" vertical="top"/>
    </xf>
    <xf numFmtId="0" fontId="148" fillId="0" borderId="0" xfId="0" applyFont="1" applyAlignment="1">
      <alignment horizontal="right" vertical="top"/>
    </xf>
    <xf numFmtId="0" fontId="24" fillId="0" borderId="19" xfId="0" applyFont="1" applyFill="1" applyBorder="1" applyAlignment="1">
      <alignment horizontal="center" vertical="center"/>
    </xf>
    <xf numFmtId="0" fontId="28" fillId="0" borderId="20" xfId="0" applyFont="1" applyFill="1" applyBorder="1" applyAlignment="1" applyProtection="1">
      <alignment horizontal="center" vertical="center"/>
      <protection locked="0"/>
    </xf>
    <xf numFmtId="0" fontId="27" fillId="0" borderId="14" xfId="0" applyFont="1" applyBorder="1" applyAlignment="1">
      <alignment horizontal="left" vertical="top" wrapText="1"/>
    </xf>
    <xf numFmtId="0" fontId="66" fillId="0" borderId="19" xfId="0" quotePrefix="1" applyFont="1" applyBorder="1" applyAlignment="1">
      <alignment horizontal="center" vertical="center"/>
    </xf>
    <xf numFmtId="0" fontId="66" fillId="0" borderId="11" xfId="0" quotePrefix="1" applyFont="1" applyBorder="1" applyAlignment="1">
      <alignment horizontal="center" vertical="center"/>
    </xf>
    <xf numFmtId="0" fontId="66" fillId="0" borderId="18" xfId="0" quotePrefix="1" applyFont="1" applyBorder="1" applyAlignment="1">
      <alignment horizontal="center" vertical="center"/>
    </xf>
    <xf numFmtId="0" fontId="141" fillId="0" borderId="0" xfId="0" applyFont="1" applyAlignment="1">
      <alignment vertical="center"/>
    </xf>
    <xf numFmtId="0" fontId="50" fillId="0" borderId="12" xfId="0" applyFont="1" applyBorder="1" applyAlignment="1" applyProtection="1">
      <protection locked="0"/>
    </xf>
    <xf numFmtId="165" fontId="1" fillId="0" borderId="20" xfId="0" applyNumberFormat="1" applyFont="1" applyBorder="1" applyAlignment="1">
      <alignment horizontal="center" vertical="center"/>
    </xf>
    <xf numFmtId="165" fontId="1" fillId="0" borderId="21" xfId="0" applyNumberFormat="1" applyFont="1" applyBorder="1" applyAlignment="1">
      <alignment horizontal="center" vertical="center"/>
    </xf>
    <xf numFmtId="1" fontId="4" fillId="0" borderId="24" xfId="0" quotePrefix="1" applyNumberFormat="1" applyFont="1" applyBorder="1" applyAlignment="1">
      <alignment horizontal="center" vertical="center"/>
    </xf>
    <xf numFmtId="165" fontId="4" fillId="0" borderId="12" xfId="0" quotePrefix="1" applyNumberFormat="1" applyFont="1" applyBorder="1" applyAlignment="1">
      <alignment horizontal="center" vertical="center"/>
    </xf>
    <xf numFmtId="1" fontId="4" fillId="0" borderId="23" xfId="0" quotePrefix="1" applyNumberFormat="1" applyFont="1" applyBorder="1" applyAlignment="1">
      <alignment horizontal="center" vertical="center"/>
    </xf>
    <xf numFmtId="2" fontId="4" fillId="0" borderId="14" xfId="0" quotePrefix="1" applyNumberFormat="1" applyFont="1" applyBorder="1" applyAlignment="1">
      <alignment horizontal="center" vertical="center"/>
    </xf>
    <xf numFmtId="1" fontId="4" fillId="0" borderId="16" xfId="0" quotePrefix="1" applyNumberFormat="1" applyFont="1" applyBorder="1" applyAlignment="1">
      <alignment horizontal="center" vertical="center"/>
    </xf>
    <xf numFmtId="165" fontId="4" fillId="0" borderId="10" xfId="0" quotePrefix="1" applyNumberFormat="1" applyFont="1" applyBorder="1" applyAlignment="1">
      <alignment horizontal="center" vertical="center"/>
    </xf>
    <xf numFmtId="1" fontId="4" fillId="0" borderId="10" xfId="0" quotePrefix="1" applyNumberFormat="1" applyFont="1" applyBorder="1" applyAlignment="1">
      <alignment horizontal="center" vertical="center"/>
    </xf>
    <xf numFmtId="1" fontId="4" fillId="0" borderId="15" xfId="0" quotePrefix="1" applyNumberFormat="1" applyFont="1" applyBorder="1" applyAlignment="1">
      <alignment horizontal="center" vertical="center"/>
    </xf>
    <xf numFmtId="2" fontId="4" fillId="0" borderId="15" xfId="0" quotePrefix="1" applyNumberFormat="1" applyFont="1" applyBorder="1" applyAlignment="1">
      <alignment horizontal="center" vertical="center"/>
    </xf>
    <xf numFmtId="0" fontId="22" fillId="0" borderId="10" xfId="0" applyFont="1" applyBorder="1" applyAlignment="1">
      <alignment horizontal="left" vertical="center"/>
    </xf>
    <xf numFmtId="0" fontId="0" fillId="0" borderId="15" xfId="0" applyBorder="1" applyAlignment="1">
      <alignment vertical="center"/>
    </xf>
    <xf numFmtId="0" fontId="22" fillId="0" borderId="0" xfId="0" applyFont="1" applyBorder="1" applyAlignment="1">
      <alignment horizontal="left" vertical="top"/>
    </xf>
    <xf numFmtId="0" fontId="21" fillId="0" borderId="24" xfId="0" applyFont="1" applyBorder="1" applyAlignment="1">
      <alignment horizontal="center" vertical="center" wrapText="1"/>
    </xf>
    <xf numFmtId="0" fontId="9" fillId="0" borderId="0" xfId="0" applyFont="1" applyAlignment="1">
      <alignment wrapText="1"/>
    </xf>
    <xf numFmtId="0" fontId="13" fillId="0" borderId="10" xfId="0" applyFont="1" applyBorder="1" applyAlignment="1">
      <alignment horizontal="right" vertical="center"/>
    </xf>
    <xf numFmtId="0" fontId="16" fillId="0" borderId="21" xfId="0" applyFont="1" applyBorder="1" applyAlignment="1">
      <alignment horizontal="center" vertical="center"/>
    </xf>
    <xf numFmtId="0" fontId="15" fillId="0" borderId="16" xfId="0" applyFont="1" applyBorder="1" applyAlignment="1">
      <alignment horizontal="center" vertical="center"/>
    </xf>
    <xf numFmtId="0" fontId="45" fillId="0" borderId="12" xfId="0" applyFont="1" applyBorder="1" applyAlignment="1">
      <alignment vertical="top"/>
    </xf>
    <xf numFmtId="0" fontId="16" fillId="0" borderId="10" xfId="0" applyFont="1" applyBorder="1" applyAlignment="1">
      <alignment horizontal="right"/>
    </xf>
    <xf numFmtId="0" fontId="66" fillId="0" borderId="10" xfId="0" applyFont="1" applyBorder="1" applyAlignment="1">
      <alignment horizontal="right" vertical="center"/>
    </xf>
    <xf numFmtId="0" fontId="35" fillId="0" borderId="12" xfId="0" applyFont="1" applyFill="1" applyBorder="1" applyAlignment="1">
      <alignment wrapText="1"/>
    </xf>
    <xf numFmtId="0" fontId="35" fillId="0" borderId="0" xfId="0" applyFont="1" applyFill="1" applyBorder="1" applyAlignment="1"/>
    <xf numFmtId="0" fontId="22" fillId="0" borderId="12" xfId="0" applyFont="1" applyBorder="1" applyAlignment="1">
      <alignment vertical="top"/>
    </xf>
    <xf numFmtId="0" fontId="0" fillId="0" borderId="0" xfId="0" quotePrefix="1" applyAlignment="1">
      <alignment vertical="center"/>
    </xf>
    <xf numFmtId="0" fontId="55" fillId="0" borderId="12" xfId="0" applyFont="1" applyBorder="1" applyAlignment="1">
      <alignment horizontal="right" vertical="center"/>
    </xf>
    <xf numFmtId="0" fontId="146" fillId="0" borderId="20" xfId="0" applyFont="1" applyBorder="1" applyAlignment="1">
      <alignment horizontal="center" vertical="center"/>
    </xf>
    <xf numFmtId="0" fontId="146" fillId="0" borderId="21" xfId="0" applyFont="1" applyBorder="1" applyAlignment="1">
      <alignment horizontal="center" vertical="center"/>
    </xf>
    <xf numFmtId="0" fontId="77" fillId="0" borderId="21" xfId="0" applyFont="1" applyBorder="1" applyAlignment="1" applyProtection="1">
      <alignment vertical="center"/>
      <protection locked="0"/>
    </xf>
    <xf numFmtId="0" fontId="57" fillId="0" borderId="0" xfId="0" applyFont="1" applyAlignment="1" applyProtection="1">
      <alignment vertical="center"/>
      <protection locked="0"/>
    </xf>
    <xf numFmtId="0" fontId="15" fillId="0" borderId="0" xfId="0" applyFont="1" applyAlignment="1" applyProtection="1">
      <alignment vertical="center"/>
      <protection locked="0"/>
    </xf>
    <xf numFmtId="0" fontId="4" fillId="0" borderId="20" xfId="0" applyFont="1" applyBorder="1" applyAlignment="1">
      <alignment horizontal="center" vertical="center"/>
    </xf>
    <xf numFmtId="0" fontId="4" fillId="0" borderId="14" xfId="0" applyFont="1" applyBorder="1" applyAlignment="1">
      <alignment horizontal="center" vertical="center"/>
    </xf>
    <xf numFmtId="1" fontId="0" fillId="0" borderId="20" xfId="0" applyNumberFormat="1" applyBorder="1" applyAlignment="1">
      <alignment horizontal="center" vertical="center"/>
    </xf>
    <xf numFmtId="0" fontId="0" fillId="0" borderId="14" xfId="0" applyBorder="1" applyAlignment="1">
      <alignment horizontal="center" vertical="center"/>
    </xf>
    <xf numFmtId="0" fontId="20" fillId="0" borderId="14" xfId="0" applyFont="1" applyBorder="1" applyAlignment="1">
      <alignment horizontal="center" vertical="center"/>
    </xf>
    <xf numFmtId="0" fontId="0" fillId="0" borderId="21" xfId="0" applyBorder="1" applyAlignment="1">
      <alignment horizontal="center" vertical="center"/>
    </xf>
    <xf numFmtId="0" fontId="15" fillId="0" borderId="19" xfId="0" applyFont="1" applyBorder="1" applyAlignment="1">
      <alignment horizontal="center" vertical="center"/>
    </xf>
    <xf numFmtId="0" fontId="4" fillId="0" borderId="0" xfId="0" applyFont="1" applyBorder="1" applyAlignment="1">
      <alignment horizontal="center" vertical="center"/>
    </xf>
    <xf numFmtId="2" fontId="0" fillId="0" borderId="14" xfId="0" applyNumberFormat="1" applyBorder="1" applyAlignment="1" applyProtection="1">
      <alignment horizontal="center" vertical="center"/>
      <protection locked="0"/>
    </xf>
    <xf numFmtId="0" fontId="21" fillId="0" borderId="20" xfId="0" applyFont="1" applyBorder="1" applyAlignment="1">
      <alignment horizontal="center" vertical="center"/>
    </xf>
    <xf numFmtId="0" fontId="0" fillId="0" borderId="20" xfId="0" applyBorder="1" applyAlignment="1">
      <alignment horizontal="center" vertical="center"/>
    </xf>
    <xf numFmtId="0" fontId="80" fillId="0" borderId="0" xfId="0" applyFont="1" applyBorder="1" applyAlignment="1" applyProtection="1">
      <alignment vertical="center" wrapText="1"/>
      <protection locked="0"/>
    </xf>
    <xf numFmtId="0" fontId="1" fillId="0" borderId="0" xfId="0" applyFont="1" applyFill="1" applyBorder="1" applyAlignment="1">
      <alignment horizontal="center" vertical="center"/>
    </xf>
    <xf numFmtId="0" fontId="1" fillId="0" borderId="14" xfId="0" applyFont="1" applyBorder="1" applyAlignment="1">
      <alignment horizontal="center" vertical="center"/>
    </xf>
    <xf numFmtId="0" fontId="1" fillId="0" borderId="0" xfId="0" applyFont="1" applyBorder="1" applyAlignment="1">
      <alignment horizontal="center" vertical="center"/>
    </xf>
    <xf numFmtId="0" fontId="0" fillId="0" borderId="20" xfId="0"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18" fillId="0" borderId="15" xfId="0" applyFont="1" applyBorder="1" applyAlignment="1">
      <alignment horizontal="center" vertical="center"/>
    </xf>
    <xf numFmtId="0" fontId="4" fillId="0" borderId="0" xfId="0" applyFont="1" applyBorder="1" applyAlignment="1">
      <alignment horizontal="center" vertical="center"/>
    </xf>
    <xf numFmtId="0" fontId="21" fillId="0" borderId="20" xfId="0" applyFont="1" applyBorder="1" applyAlignment="1">
      <alignment horizontal="center" vertical="center"/>
    </xf>
    <xf numFmtId="0" fontId="3" fillId="0" borderId="17" xfId="0" applyFont="1" applyFill="1" applyBorder="1" applyAlignment="1">
      <alignment horizontal="center" vertical="center"/>
    </xf>
    <xf numFmtId="0" fontId="0" fillId="0" borderId="0" xfId="0" applyBorder="1" applyAlignment="1">
      <alignment horizontal="center" vertical="center"/>
    </xf>
    <xf numFmtId="0" fontId="0" fillId="0" borderId="17" xfId="0" applyFill="1" applyBorder="1" applyAlignment="1">
      <alignment horizontal="center" vertical="center"/>
    </xf>
    <xf numFmtId="0" fontId="0" fillId="0" borderId="14" xfId="0" applyFill="1" applyBorder="1" applyAlignment="1">
      <alignment horizontal="center" vertical="center"/>
    </xf>
    <xf numFmtId="0" fontId="0" fillId="0" borderId="20" xfId="0" applyBorder="1" applyAlignment="1">
      <alignment horizontal="center" vertical="center"/>
    </xf>
    <xf numFmtId="37" fontId="3" fillId="0" borderId="20" xfId="0" applyNumberFormat="1" applyFont="1" applyBorder="1" applyAlignment="1">
      <alignment horizontal="center" vertical="center"/>
    </xf>
    <xf numFmtId="37" fontId="3" fillId="0" borderId="17" xfId="0" applyNumberFormat="1" applyFont="1" applyBorder="1" applyAlignment="1">
      <alignment horizontal="center" vertical="center"/>
    </xf>
    <xf numFmtId="2" fontId="4" fillId="0" borderId="17" xfId="0" applyNumberFormat="1" applyFont="1" applyBorder="1" applyAlignment="1">
      <alignment horizontal="center" vertical="center"/>
    </xf>
    <xf numFmtId="0" fontId="4" fillId="0" borderId="20" xfId="0" applyFont="1" applyBorder="1" applyAlignment="1">
      <alignment horizontal="center" vertical="center"/>
    </xf>
    <xf numFmtId="0" fontId="0" fillId="0" borderId="0" xfId="0" applyBorder="1" applyAlignment="1">
      <alignment horizontal="center" vertical="center"/>
    </xf>
    <xf numFmtId="0" fontId="18" fillId="0" borderId="22"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16" xfId="0" applyFont="1" applyBorder="1" applyAlignment="1">
      <alignment horizontal="center" vertical="center"/>
    </xf>
    <xf numFmtId="0" fontId="18" fillId="0" borderId="15" xfId="0" applyFont="1" applyBorder="1" applyAlignment="1">
      <alignment horizontal="center" vertical="center"/>
    </xf>
    <xf numFmtId="0" fontId="18" fillId="0" borderId="10" xfId="0" applyFont="1" applyBorder="1" applyAlignment="1">
      <alignment horizontal="center" vertical="center"/>
    </xf>
    <xf numFmtId="0" fontId="23" fillId="0" borderId="11" xfId="0" quotePrefix="1" applyFont="1" applyBorder="1" applyAlignment="1">
      <alignment horizontal="center" vertical="center"/>
    </xf>
    <xf numFmtId="0" fontId="4" fillId="0" borderId="21" xfId="0" applyFont="1" applyBorder="1" applyAlignment="1">
      <alignment horizontal="center" vertical="center"/>
    </xf>
    <xf numFmtId="0" fontId="71" fillId="0" borderId="0" xfId="0" applyFont="1" applyBorder="1" applyAlignment="1">
      <alignment horizontal="center" vertical="top" wrapText="1"/>
    </xf>
    <xf numFmtId="0" fontId="71" fillId="0" borderId="0" xfId="0" applyFont="1" applyBorder="1" applyAlignment="1">
      <alignment horizontal="right" vertical="top"/>
    </xf>
    <xf numFmtId="0" fontId="57" fillId="0" borderId="0" xfId="0" applyFont="1" applyBorder="1" applyAlignment="1">
      <alignment vertical="top" wrapText="1"/>
    </xf>
    <xf numFmtId="0" fontId="152" fillId="0" borderId="20" xfId="0" applyFont="1" applyBorder="1" applyAlignment="1">
      <alignment vertical="center"/>
    </xf>
    <xf numFmtId="0" fontId="152" fillId="0" borderId="0" xfId="0" applyFont="1" applyAlignment="1">
      <alignment vertical="center"/>
    </xf>
    <xf numFmtId="0" fontId="13" fillId="0" borderId="21" xfId="0" applyFont="1" applyBorder="1" applyAlignment="1" applyProtection="1">
      <alignment horizontal="center" vertical="center"/>
      <protection locked="0"/>
    </xf>
    <xf numFmtId="0" fontId="0" fillId="0" borderId="17" xfId="0" applyBorder="1" applyAlignment="1">
      <alignment horizontal="center" vertical="center"/>
    </xf>
    <xf numFmtId="0" fontId="0" fillId="0" borderId="0" xfId="0" applyBorder="1" applyAlignment="1">
      <alignment horizontal="center" vertical="center"/>
    </xf>
    <xf numFmtId="0" fontId="21" fillId="0" borderId="20" xfId="0" applyFont="1" applyBorder="1" applyAlignment="1">
      <alignment horizontal="center" vertical="center"/>
    </xf>
    <xf numFmtId="0" fontId="0" fillId="0" borderId="20" xfId="0" applyBorder="1" applyAlignment="1">
      <alignment horizontal="center" vertical="center"/>
    </xf>
    <xf numFmtId="0" fontId="20" fillId="0" borderId="0" xfId="0" applyFont="1" applyBorder="1" applyAlignment="1" applyProtection="1">
      <alignment horizontal="center" vertical="center"/>
      <protection locked="0"/>
    </xf>
    <xf numFmtId="0" fontId="0" fillId="0" borderId="0" xfId="0" applyAlignment="1">
      <alignment horizontal="center"/>
    </xf>
    <xf numFmtId="0" fontId="0" fillId="0" borderId="0" xfId="0" applyFill="1" applyBorder="1" applyAlignment="1">
      <alignment horizontal="center"/>
    </xf>
    <xf numFmtId="0" fontId="27" fillId="0" borderId="0" xfId="0" applyFont="1" applyBorder="1" applyAlignment="1">
      <alignment horizontal="center" vertical="center"/>
    </xf>
    <xf numFmtId="0" fontId="21" fillId="0" borderId="14" xfId="0" applyFont="1" applyFill="1" applyBorder="1" applyAlignment="1">
      <alignment horizontal="center" vertical="center"/>
    </xf>
    <xf numFmtId="0" fontId="67"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0" fillId="0" borderId="17" xfId="0" applyBorder="1" applyAlignment="1">
      <alignment horizontal="center" vertical="center"/>
    </xf>
    <xf numFmtId="0" fontId="0" fillId="0" borderId="14" xfId="0" applyBorder="1" applyAlignment="1">
      <alignment horizontal="center" vertical="center"/>
    </xf>
    <xf numFmtId="0" fontId="28" fillId="0" borderId="0" xfId="0" applyFont="1" applyBorder="1" applyAlignment="1">
      <alignment horizontal="center" vertical="center"/>
    </xf>
    <xf numFmtId="0" fontId="50" fillId="0" borderId="0" xfId="0" applyFont="1" applyAlignment="1" applyProtection="1">
      <alignment horizontal="left" vertical="center"/>
      <protection locked="0"/>
    </xf>
    <xf numFmtId="0" fontId="20" fillId="0" borderId="14" xfId="0" applyFont="1" applyBorder="1" applyAlignment="1">
      <alignment horizontal="center" vertical="center"/>
    </xf>
    <xf numFmtId="0" fontId="0" fillId="0" borderId="0" xfId="0" applyBorder="1" applyAlignment="1">
      <alignment horizontal="center" vertical="center"/>
    </xf>
    <xf numFmtId="0" fontId="0" fillId="0" borderId="17" xfId="0" applyFill="1" applyBorder="1" applyAlignment="1">
      <alignment horizontal="center" vertical="center"/>
    </xf>
    <xf numFmtId="0" fontId="0" fillId="0" borderId="14" xfId="0" applyFill="1" applyBorder="1" applyAlignment="1">
      <alignment horizontal="center" vertical="center"/>
    </xf>
    <xf numFmtId="0" fontId="21" fillId="0" borderId="20" xfId="0" applyFont="1" applyBorder="1" applyAlignment="1">
      <alignment horizontal="center" vertical="center"/>
    </xf>
    <xf numFmtId="0" fontId="0" fillId="0" borderId="20" xfId="0" applyBorder="1" applyAlignment="1">
      <alignment horizontal="center" vertical="center"/>
    </xf>
    <xf numFmtId="0" fontId="21" fillId="0" borderId="17"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0" xfId="0"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0" applyFont="1" applyBorder="1" applyAlignment="1">
      <alignment horizontal="center" vertical="center"/>
    </xf>
    <xf numFmtId="0" fontId="24" fillId="0" borderId="0" xfId="0" applyFont="1" applyAlignment="1">
      <alignment horizontal="center"/>
    </xf>
    <xf numFmtId="0" fontId="18" fillId="0" borderId="13"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8" fillId="0" borderId="0" xfId="0" applyFont="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4" fillId="0" borderId="20" xfId="0" applyFont="1" applyBorder="1" applyAlignment="1">
      <alignment horizontal="center" vertical="center"/>
    </xf>
    <xf numFmtId="0" fontId="0" fillId="0" borderId="17" xfId="0" applyBorder="1" applyAlignment="1">
      <alignment horizontal="center" vertical="center"/>
    </xf>
    <xf numFmtId="0" fontId="21" fillId="0" borderId="24" xfId="0" applyFont="1" applyBorder="1" applyAlignment="1">
      <alignment horizontal="center" vertical="center"/>
    </xf>
    <xf numFmtId="0" fontId="4" fillId="0" borderId="17" xfId="0" applyFont="1" applyBorder="1" applyAlignment="1">
      <alignment horizontal="center" vertical="center"/>
    </xf>
    <xf numFmtId="0" fontId="0" fillId="0" borderId="21" xfId="0" applyBorder="1" applyAlignment="1">
      <alignment horizontal="center" vertical="center"/>
    </xf>
    <xf numFmtId="0" fontId="4" fillId="0" borderId="0" xfId="0" applyFont="1" applyBorder="1" applyAlignment="1">
      <alignment horizontal="center" vertical="center"/>
    </xf>
    <xf numFmtId="0" fontId="0" fillId="0" borderId="17" xfId="0" applyBorder="1" applyAlignment="1">
      <alignment horizontal="center"/>
    </xf>
    <xf numFmtId="0" fontId="0" fillId="0" borderId="10" xfId="0" applyBorder="1" applyAlignment="1">
      <alignment horizontal="center" vertical="center"/>
    </xf>
    <xf numFmtId="0" fontId="21" fillId="0" borderId="20" xfId="0" applyFont="1" applyBorder="1" applyAlignment="1">
      <alignment horizontal="center" vertical="center"/>
    </xf>
    <xf numFmtId="0" fontId="0" fillId="0" borderId="20" xfId="0" applyBorder="1" applyAlignment="1">
      <alignment horizontal="center" vertical="center"/>
    </xf>
    <xf numFmtId="0" fontId="21" fillId="0" borderId="16" xfId="0" applyFont="1" applyBorder="1" applyAlignment="1">
      <alignment horizontal="center" vertical="center" wrapText="1"/>
    </xf>
    <xf numFmtId="2" fontId="4" fillId="0" borderId="17" xfId="0" applyNumberFormat="1" applyFont="1" applyFill="1" applyBorder="1" applyAlignment="1">
      <alignment horizontal="center" vertical="center"/>
    </xf>
    <xf numFmtId="0" fontId="4" fillId="0" borderId="0" xfId="0" applyFont="1" applyBorder="1" applyAlignment="1">
      <alignment horizontal="center" vertical="center"/>
    </xf>
    <xf numFmtId="0" fontId="0" fillId="0" borderId="20" xfId="0" applyBorder="1" applyAlignment="1">
      <alignment horizontal="center" vertical="center"/>
    </xf>
    <xf numFmtId="0" fontId="4" fillId="0" borderId="20" xfId="0" applyFont="1" applyBorder="1" applyAlignment="1">
      <alignment horizontal="center" vertical="center"/>
    </xf>
    <xf numFmtId="0" fontId="0" fillId="0" borderId="17" xfId="0" applyBorder="1" applyAlignment="1">
      <alignment horizontal="center" vertical="center"/>
    </xf>
    <xf numFmtId="0" fontId="27" fillId="0" borderId="0" xfId="0" applyFont="1" applyBorder="1" applyAlignment="1" applyProtection="1">
      <alignment horizontal="center" vertical="center"/>
      <protection locked="0"/>
    </xf>
    <xf numFmtId="0" fontId="67" fillId="0" borderId="0" xfId="0" applyFont="1" applyBorder="1" applyAlignment="1" applyProtection="1">
      <alignment horizontal="center" vertical="top" wrapText="1"/>
      <protection locked="0"/>
    </xf>
    <xf numFmtId="0" fontId="21" fillId="0" borderId="16" xfId="0" applyFont="1" applyBorder="1" applyAlignment="1" applyProtection="1">
      <alignment vertical="center"/>
      <protection locked="0"/>
    </xf>
    <xf numFmtId="0" fontId="13" fillId="0" borderId="17" xfId="0" applyFont="1" applyBorder="1" applyAlignment="1">
      <alignment horizontal="center" vertical="center"/>
    </xf>
    <xf numFmtId="0" fontId="71"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22" fillId="0" borderId="0" xfId="0" quotePrefix="1" applyFont="1" applyBorder="1" applyAlignment="1" applyProtection="1">
      <alignment horizontal="center" vertical="center"/>
      <protection locked="0"/>
    </xf>
    <xf numFmtId="0" fontId="66" fillId="0" borderId="0" xfId="0"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0" fontId="0" fillId="0" borderId="17" xfId="0" applyBorder="1" applyAlignment="1" applyProtection="1">
      <alignment horizontal="center" vertical="center"/>
    </xf>
    <xf numFmtId="0" fontId="50" fillId="0" borderId="0" xfId="0" applyFont="1" applyBorder="1" applyAlignment="1">
      <alignment horizontal="right"/>
    </xf>
    <xf numFmtId="0" fontId="3" fillId="0" borderId="20" xfId="0" applyFont="1" applyBorder="1" applyAlignment="1" applyProtection="1">
      <alignment horizontal="center" vertical="center"/>
    </xf>
    <xf numFmtId="0" fontId="24" fillId="0" borderId="15" xfId="0" applyFont="1" applyBorder="1" applyAlignment="1">
      <alignment horizontal="center" vertical="center"/>
    </xf>
    <xf numFmtId="0" fontId="4" fillId="0" borderId="20" xfId="0" applyFont="1" applyBorder="1" applyAlignment="1">
      <alignment horizontal="center" vertical="center"/>
    </xf>
    <xf numFmtId="0" fontId="18" fillId="0" borderId="20" xfId="0" applyFont="1" applyFill="1" applyBorder="1" applyAlignment="1">
      <alignment horizontal="center" vertical="center"/>
    </xf>
    <xf numFmtId="0" fontId="4" fillId="0" borderId="14" xfId="0" applyFont="1" applyBorder="1" applyAlignment="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0" fontId="24" fillId="0" borderId="18" xfId="0" applyFont="1" applyBorder="1" applyAlignment="1">
      <alignment horizontal="center" vertical="center"/>
    </xf>
    <xf numFmtId="0" fontId="24" fillId="0" borderId="13" xfId="0" applyFont="1" applyBorder="1" applyAlignment="1">
      <alignment horizontal="center" vertical="center"/>
    </xf>
    <xf numFmtId="0" fontId="28" fillId="0" borderId="0" xfId="0" applyFont="1" applyBorder="1" applyAlignment="1">
      <alignment horizontal="center" vertical="center"/>
    </xf>
    <xf numFmtId="0" fontId="4" fillId="0" borderId="24"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0" fillId="0" borderId="17" xfId="0" applyBorder="1" applyAlignment="1">
      <alignment horizontal="center"/>
    </xf>
    <xf numFmtId="0" fontId="0" fillId="0" borderId="14" xfId="0" applyBorder="1" applyAlignment="1">
      <alignment horizontal="center"/>
    </xf>
    <xf numFmtId="0" fontId="0" fillId="0" borderId="0" xfId="0" applyBorder="1" applyAlignment="1">
      <alignment horizontal="center" vertical="center"/>
    </xf>
    <xf numFmtId="0" fontId="4" fillId="0" borderId="10" xfId="0" applyFont="1" applyBorder="1" applyAlignment="1">
      <alignment horizontal="center" vertical="center"/>
    </xf>
    <xf numFmtId="1" fontId="4" fillId="0" borderId="14" xfId="0" applyNumberFormat="1" applyFont="1" applyBorder="1" applyAlignment="1" applyProtection="1">
      <alignment horizontal="center" vertical="center"/>
      <protection locked="0"/>
    </xf>
    <xf numFmtId="1" fontId="4" fillId="0" borderId="23" xfId="0" applyNumberFormat="1" applyFont="1" applyBorder="1" applyAlignment="1">
      <alignment horizontal="center" vertical="center"/>
    </xf>
    <xf numFmtId="0" fontId="21" fillId="0" borderId="15" xfId="0" applyFont="1" applyBorder="1" applyAlignment="1" applyProtection="1">
      <alignment horizontal="center" vertical="center"/>
      <protection locked="0"/>
    </xf>
    <xf numFmtId="0" fontId="21" fillId="0" borderId="20" xfId="0" applyFont="1" applyBorder="1" applyAlignment="1">
      <alignment horizontal="center" vertical="center"/>
    </xf>
    <xf numFmtId="0" fontId="0" fillId="0" borderId="20" xfId="0" applyBorder="1" applyAlignment="1">
      <alignment horizontal="center" vertical="center"/>
    </xf>
    <xf numFmtId="0" fontId="4" fillId="0" borderId="14" xfId="0" applyFont="1" applyBorder="1" applyAlignment="1">
      <alignment horizontal="center" vertical="center"/>
    </xf>
    <xf numFmtId="0" fontId="4" fillId="0" borderId="24" xfId="0" applyFont="1" applyBorder="1" applyAlignment="1">
      <alignment horizontal="center" vertical="center"/>
    </xf>
    <xf numFmtId="0" fontId="4" fillId="0" borderId="23" xfId="0" applyFont="1" applyBorder="1" applyAlignment="1">
      <alignment horizontal="center" vertical="center"/>
    </xf>
    <xf numFmtId="0" fontId="4" fillId="0" borderId="17"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0" fillId="0" borderId="14" xfId="0" quotePrefix="1" applyBorder="1" applyAlignment="1">
      <alignment horizontal="center"/>
    </xf>
    <xf numFmtId="0" fontId="4" fillId="0" borderId="0" xfId="0" quotePrefix="1" applyFont="1" applyBorder="1" applyAlignment="1">
      <alignment horizontal="center"/>
    </xf>
    <xf numFmtId="0" fontId="28" fillId="0" borderId="0" xfId="0" quotePrefix="1" applyFont="1" applyBorder="1" applyAlignment="1" applyProtection="1">
      <alignment horizontal="center" vertical="center"/>
      <protection locked="0"/>
    </xf>
    <xf numFmtId="0" fontId="18" fillId="0" borderId="0" xfId="0" applyFont="1" applyBorder="1" applyAlignment="1"/>
    <xf numFmtId="0" fontId="0" fillId="0" borderId="17" xfId="0" applyFill="1" applyBorder="1" applyAlignment="1">
      <alignment horizontal="center"/>
    </xf>
    <xf numFmtId="0" fontId="20" fillId="0" borderId="16" xfId="0" applyFont="1" applyBorder="1" applyAlignment="1">
      <alignment horizontal="center" vertical="center"/>
    </xf>
    <xf numFmtId="0" fontId="0" fillId="0" borderId="0" xfId="0" applyAlignment="1">
      <alignment horizontal="center"/>
    </xf>
    <xf numFmtId="0" fontId="0" fillId="0" borderId="0" xfId="0" applyFill="1"/>
    <xf numFmtId="0" fontId="3" fillId="0" borderId="17" xfId="0" applyFont="1" applyBorder="1" applyAlignment="1">
      <alignment horizontal="center"/>
    </xf>
    <xf numFmtId="0" fontId="28" fillId="0" borderId="0" xfId="0" applyFont="1" applyFill="1" applyBorder="1" applyAlignment="1">
      <alignment horizontal="center" vertical="center"/>
    </xf>
    <xf numFmtId="0" fontId="28" fillId="0" borderId="0" xfId="0" applyFont="1" applyBorder="1" applyAlignment="1" applyProtection="1">
      <alignment horizontal="left" vertical="center"/>
      <protection locked="0"/>
    </xf>
    <xf numFmtId="0" fontId="18" fillId="0" borderId="0" xfId="0" applyFont="1" applyBorder="1" applyAlignment="1">
      <alignment vertical="center" wrapText="1"/>
    </xf>
    <xf numFmtId="0" fontId="18" fillId="0" borderId="20" xfId="0" applyFont="1" applyFill="1" applyBorder="1" applyAlignment="1">
      <alignment horizontal="center" vertical="center"/>
    </xf>
    <xf numFmtId="0" fontId="18" fillId="0" borderId="13" xfId="0" applyFont="1" applyBorder="1" applyAlignment="1">
      <alignment horizontal="center" vertical="center" wrapText="1"/>
    </xf>
    <xf numFmtId="2" fontId="0" fillId="0" borderId="0" xfId="0" applyNumberFormat="1" applyAlignment="1">
      <alignment horizontal="center"/>
    </xf>
    <xf numFmtId="0" fontId="24" fillId="0" borderId="18" xfId="0" applyFont="1" applyBorder="1" applyAlignment="1">
      <alignment horizontal="center" vertical="center"/>
    </xf>
    <xf numFmtId="0" fontId="0" fillId="0" borderId="21" xfId="0" applyBorder="1" applyAlignment="1">
      <alignment horizontal="center" vertical="center"/>
    </xf>
    <xf numFmtId="3" fontId="0" fillId="0" borderId="20" xfId="0" applyNumberFormat="1" applyBorder="1" applyAlignment="1">
      <alignment horizontal="center" vertical="center"/>
    </xf>
    <xf numFmtId="3" fontId="4" fillId="0" borderId="20" xfId="0" applyNumberFormat="1" applyFont="1" applyBorder="1" applyAlignment="1">
      <alignment horizontal="center" vertical="center"/>
    </xf>
    <xf numFmtId="37" fontId="3" fillId="0" borderId="14" xfId="0" applyNumberFormat="1" applyFont="1" applyBorder="1" applyAlignment="1">
      <alignment horizontal="center" vertical="center"/>
    </xf>
    <xf numFmtId="3" fontId="3" fillId="0" borderId="20" xfId="0" applyNumberFormat="1" applyFont="1" applyBorder="1" applyAlignment="1">
      <alignment horizontal="center" vertical="center"/>
    </xf>
    <xf numFmtId="0" fontId="153" fillId="0" borderId="0" xfId="0" applyFont="1" applyAlignment="1">
      <alignment horizontal="right"/>
    </xf>
    <xf numFmtId="0" fontId="153" fillId="0" borderId="12" xfId="0" applyFont="1" applyBorder="1" applyAlignment="1">
      <alignment horizontal="left"/>
    </xf>
    <xf numFmtId="0" fontId="153" fillId="0" borderId="12" xfId="0" applyFont="1" applyBorder="1" applyAlignment="1">
      <alignment horizontal="right"/>
    </xf>
    <xf numFmtId="0" fontId="153" fillId="0" borderId="0" xfId="0" applyFont="1"/>
    <xf numFmtId="0" fontId="153" fillId="0" borderId="0" xfId="0" applyFont="1" applyAlignment="1"/>
    <xf numFmtId="0" fontId="153" fillId="0" borderId="0" xfId="0" applyFont="1" applyAlignment="1">
      <alignment vertical="top"/>
    </xf>
    <xf numFmtId="0" fontId="27" fillId="0" borderId="0" xfId="0" applyFont="1" applyBorder="1" applyAlignment="1">
      <alignment horizontal="center" vertical="center"/>
    </xf>
    <xf numFmtId="0" fontId="57" fillId="0" borderId="0" xfId="0" applyFont="1" applyBorder="1" applyAlignment="1" applyProtection="1">
      <alignment horizontal="left" vertical="top" wrapText="1"/>
      <protection locked="0"/>
    </xf>
    <xf numFmtId="0" fontId="18" fillId="0" borderId="0" xfId="0" applyFont="1" applyBorder="1" applyAlignment="1">
      <alignment horizontal="center" vertical="center" wrapText="1"/>
    </xf>
    <xf numFmtId="0" fontId="27" fillId="0" borderId="0" xfId="0" applyFont="1" applyBorder="1" applyAlignment="1" applyProtection="1">
      <alignment horizontal="center" vertical="center"/>
      <protection locked="0"/>
    </xf>
    <xf numFmtId="0" fontId="67" fillId="0" borderId="0" xfId="0" applyFont="1" applyBorder="1" applyAlignment="1" applyProtection="1">
      <alignment horizontal="center" vertical="top" wrapText="1"/>
      <protection locked="0"/>
    </xf>
    <xf numFmtId="0" fontId="0" fillId="0" borderId="0" xfId="0" applyAlignment="1">
      <alignment vertical="top" wrapText="1"/>
    </xf>
    <xf numFmtId="0" fontId="57" fillId="0" borderId="0" xfId="0" applyFont="1" applyAlignment="1" applyProtection="1">
      <alignment horizontal="left" vertical="top" wrapText="1"/>
      <protection locked="0"/>
    </xf>
    <xf numFmtId="0" fontId="9" fillId="0" borderId="0" xfId="0" applyFont="1" applyAlignment="1">
      <alignment horizontal="left" vertical="top" wrapText="1"/>
    </xf>
    <xf numFmtId="0" fontId="18" fillId="0" borderId="0" xfId="0" applyFont="1" applyBorder="1" applyAlignment="1">
      <alignment horizontal="center" vertical="center"/>
    </xf>
    <xf numFmtId="0" fontId="67" fillId="0" borderId="0" xfId="0" applyFont="1" applyAlignment="1">
      <alignment horizontal="center" wrapText="1"/>
    </xf>
    <xf numFmtId="2" fontId="3" fillId="0" borderId="0" xfId="0" applyNumberFormat="1" applyFont="1" applyBorder="1" applyAlignment="1" applyProtection="1">
      <alignment horizontal="center" vertical="center"/>
      <protection locked="0"/>
    </xf>
    <xf numFmtId="0" fontId="23" fillId="0" borderId="17" xfId="0" quotePrefix="1" applyFont="1" applyBorder="1" applyAlignment="1" applyProtection="1">
      <alignment horizontal="center" vertical="center"/>
      <protection locked="0"/>
    </xf>
    <xf numFmtId="0" fontId="4" fillId="0" borderId="17" xfId="0" applyFont="1" applyBorder="1" applyAlignment="1" applyProtection="1">
      <alignment horizontal="center" vertical="center"/>
    </xf>
    <xf numFmtId="0" fontId="20" fillId="0" borderId="22"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2" fontId="3" fillId="0" borderId="0" xfId="0" applyNumberFormat="1" applyFont="1" applyBorder="1" applyAlignment="1">
      <alignment horizontal="center" vertical="center"/>
    </xf>
    <xf numFmtId="0" fontId="0" fillId="0" borderId="0" xfId="0" applyBorder="1" applyAlignment="1">
      <alignment horizontal="center" vertical="center"/>
    </xf>
    <xf numFmtId="0" fontId="24" fillId="0" borderId="0" xfId="0" applyFont="1" applyFill="1" applyBorder="1" applyAlignment="1">
      <alignment horizontal="center" vertical="center"/>
    </xf>
    <xf numFmtId="0" fontId="1" fillId="0" borderId="0" xfId="0" applyFont="1" applyBorder="1"/>
    <xf numFmtId="0" fontId="23" fillId="0" borderId="0" xfId="0" applyFont="1" applyFill="1" applyBorder="1" applyAlignment="1">
      <alignment horizontal="center" vertical="center"/>
    </xf>
    <xf numFmtId="0" fontId="18" fillId="0" borderId="11" xfId="0" applyFont="1" applyBorder="1" applyAlignment="1">
      <alignment horizontal="center" vertical="center"/>
    </xf>
    <xf numFmtId="0" fontId="0" fillId="0" borderId="14" xfId="0" applyBorder="1" applyAlignment="1">
      <alignment horizontal="center" vertical="center"/>
    </xf>
    <xf numFmtId="0" fontId="0" fillId="0" borderId="0" xfId="0" applyAlignment="1" applyProtection="1">
      <alignment horizontal="center" vertical="center"/>
      <protection locked="0"/>
    </xf>
    <xf numFmtId="0" fontId="0" fillId="0" borderId="20" xfId="0" applyBorder="1" applyAlignment="1">
      <alignment horizontal="center" vertical="center"/>
    </xf>
    <xf numFmtId="0" fontId="1" fillId="0" borderId="17" xfId="0" applyFont="1" applyBorder="1" applyAlignment="1">
      <alignment horizontal="center" vertical="center"/>
    </xf>
    <xf numFmtId="2" fontId="0" fillId="0" borderId="10" xfId="0" applyNumberFormat="1" applyBorder="1" applyAlignment="1">
      <alignment horizontal="center" vertical="center"/>
    </xf>
    <xf numFmtId="0" fontId="24" fillId="0" borderId="15" xfId="0" applyFont="1" applyBorder="1" applyAlignment="1">
      <alignment horizontal="center" vertical="center"/>
    </xf>
    <xf numFmtId="0" fontId="18" fillId="0" borderId="13" xfId="0" applyFont="1" applyBorder="1" applyAlignment="1">
      <alignment horizontal="center" vertical="center"/>
    </xf>
    <xf numFmtId="0" fontId="18" fillId="0" borderId="18" xfId="0" applyFont="1"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2" fontId="0" fillId="0" borderId="20" xfId="0" applyNumberFormat="1" applyBorder="1" applyAlignment="1" applyProtection="1">
      <alignment horizontal="center" vertical="center"/>
      <protection locked="0"/>
    </xf>
    <xf numFmtId="0" fontId="20" fillId="0" borderId="18" xfId="0" quotePrefix="1" applyFont="1" applyBorder="1" applyAlignment="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2" fontId="24" fillId="0" borderId="18" xfId="0" applyNumberFormat="1" applyFont="1" applyBorder="1" applyAlignment="1">
      <alignment horizontal="center" vertical="center"/>
    </xf>
    <xf numFmtId="2" fontId="4" fillId="0" borderId="17" xfId="0" applyNumberFormat="1" applyFont="1" applyFill="1" applyBorder="1" applyAlignment="1">
      <alignment horizontal="center" vertical="center"/>
    </xf>
    <xf numFmtId="0" fontId="0" fillId="0" borderId="21" xfId="0" applyBorder="1" applyAlignment="1">
      <alignment horizontal="center" vertical="center"/>
    </xf>
    <xf numFmtId="0" fontId="1" fillId="0" borderId="0" xfId="0" applyFont="1" applyFill="1" applyBorder="1" applyAlignment="1">
      <alignment horizontal="center" vertical="center"/>
    </xf>
    <xf numFmtId="0" fontId="1" fillId="0" borderId="14" xfId="0" applyFont="1" applyFill="1" applyBorder="1" applyAlignment="1">
      <alignment horizontal="center" vertical="center"/>
    </xf>
    <xf numFmtId="0" fontId="15" fillId="0" borderId="19" xfId="0" applyFont="1" applyBorder="1" applyAlignment="1">
      <alignment horizontal="center" vertical="center"/>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24" xfId="0" applyFont="1" applyBorder="1" applyAlignment="1">
      <alignment horizontal="center" vertical="center" shrinkToFit="1"/>
    </xf>
    <xf numFmtId="0" fontId="4" fillId="0" borderId="17"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0" fillId="0" borderId="14" xfId="0" applyBorder="1" applyAlignment="1">
      <alignment horizontal="center"/>
    </xf>
    <xf numFmtId="0" fontId="0" fillId="0" borderId="0" xfId="0" applyBorder="1" applyAlignment="1">
      <alignment horizontal="center" vertical="center"/>
    </xf>
    <xf numFmtId="2" fontId="0" fillId="0" borderId="17" xfId="0" applyNumberFormat="1" applyBorder="1" applyAlignment="1" applyProtection="1">
      <alignment horizontal="center" vertical="center"/>
      <protection locked="0"/>
    </xf>
    <xf numFmtId="2" fontId="0" fillId="0" borderId="0" xfId="0" applyNumberFormat="1" applyBorder="1" applyAlignment="1" applyProtection="1">
      <alignment horizontal="center" vertical="center"/>
      <protection locked="0"/>
    </xf>
    <xf numFmtId="2" fontId="0" fillId="0" borderId="0" xfId="0" applyNumberFormat="1" applyBorder="1" applyAlignment="1">
      <alignment horizontal="center" vertical="center"/>
    </xf>
    <xf numFmtId="0" fontId="4" fillId="0" borderId="22" xfId="0" applyFont="1" applyBorder="1" applyAlignment="1">
      <alignment horizontal="center" vertical="center" wrapText="1"/>
    </xf>
    <xf numFmtId="0" fontId="0" fillId="0" borderId="20" xfId="0" applyBorder="1" applyAlignment="1">
      <alignment horizontal="center" vertical="center"/>
    </xf>
    <xf numFmtId="2" fontId="1" fillId="0" borderId="17" xfId="0" applyNumberFormat="1" applyFont="1" applyBorder="1" applyAlignment="1">
      <alignment horizontal="center" vertical="center"/>
    </xf>
    <xf numFmtId="0" fontId="3" fillId="0" borderId="14" xfId="0" quotePrefix="1" applyFont="1" applyBorder="1" applyAlignment="1">
      <alignment horizontal="center"/>
    </xf>
    <xf numFmtId="0" fontId="1" fillId="0" borderId="20" xfId="0" applyFont="1" applyBorder="1" applyAlignment="1">
      <alignment horizontal="center"/>
    </xf>
    <xf numFmtId="164" fontId="4" fillId="0" borderId="20" xfId="0" applyNumberFormat="1" applyFont="1" applyBorder="1" applyAlignment="1">
      <alignment horizontal="center" vertical="center"/>
    </xf>
    <xf numFmtId="2" fontId="24" fillId="0" borderId="18" xfId="0" applyNumberFormat="1" applyFont="1" applyBorder="1" applyAlignment="1">
      <alignment horizontal="center"/>
    </xf>
    <xf numFmtId="165" fontId="1" fillId="0" borderId="0" xfId="0" applyNumberFormat="1" applyFont="1" applyBorder="1" applyAlignment="1">
      <alignment horizontal="center" vertical="center"/>
    </xf>
    <xf numFmtId="1" fontId="7" fillId="0" borderId="0" xfId="0" applyNumberFormat="1" applyFont="1" applyAlignment="1">
      <alignment horizontal="center"/>
    </xf>
    <xf numFmtId="0" fontId="7" fillId="0" borderId="0" xfId="0" applyFont="1" applyAlignment="1">
      <alignment horizontal="center"/>
    </xf>
    <xf numFmtId="2" fontId="1" fillId="0" borderId="21" xfId="0" applyNumberFormat="1" applyFont="1"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0" fillId="0" borderId="15" xfId="0" applyBorder="1" applyAlignment="1">
      <alignment horizontal="center" vertical="center"/>
    </xf>
    <xf numFmtId="0" fontId="20" fillId="0" borderId="18" xfId="0" applyFont="1" applyBorder="1" applyAlignment="1">
      <alignment horizontal="center" vertical="center"/>
    </xf>
    <xf numFmtId="0" fontId="20" fillId="0" borderId="11" xfId="0" applyFont="1" applyBorder="1" applyAlignment="1">
      <alignment horizontal="center" vertical="center"/>
    </xf>
    <xf numFmtId="0" fontId="1" fillId="0" borderId="14"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0" fillId="0" borderId="10" xfId="0" applyBorder="1" applyAlignment="1">
      <alignment horizontal="center" vertical="center"/>
    </xf>
    <xf numFmtId="0" fontId="4" fillId="0" borderId="21" xfId="0" applyFont="1" applyBorder="1" applyAlignment="1">
      <alignment horizontal="center" vertical="center"/>
    </xf>
    <xf numFmtId="0" fontId="21" fillId="0" borderId="17" xfId="0" applyFont="1" applyBorder="1" applyAlignment="1">
      <alignment horizontal="center" vertical="center"/>
    </xf>
    <xf numFmtId="0" fontId="21" fillId="0" borderId="16" xfId="0" applyFont="1" applyBorder="1" applyAlignment="1">
      <alignment horizontal="center" vertical="center"/>
    </xf>
    <xf numFmtId="0" fontId="4" fillId="0" borderId="20" xfId="0" applyFont="1" applyBorder="1" applyAlignment="1">
      <alignment horizontal="center" vertical="center"/>
    </xf>
    <xf numFmtId="0" fontId="21" fillId="0" borderId="24" xfId="0" applyFont="1" applyBorder="1" applyAlignment="1">
      <alignment horizontal="center" vertical="center"/>
    </xf>
    <xf numFmtId="0" fontId="0" fillId="0" borderId="24" xfId="0" applyBorder="1" applyAlignment="1">
      <alignment horizontal="center" vertical="center"/>
    </xf>
    <xf numFmtId="0" fontId="4" fillId="0" borderId="17" xfId="0" applyFont="1" applyBorder="1" applyAlignment="1">
      <alignment horizontal="center" vertical="center"/>
    </xf>
    <xf numFmtId="0" fontId="21" fillId="0" borderId="17" xfId="0" applyFont="1" applyBorder="1" applyAlignment="1">
      <alignment horizontal="center" vertical="center"/>
    </xf>
    <xf numFmtId="0" fontId="18" fillId="0" borderId="22"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1" xfId="0" applyFont="1" applyBorder="1" applyAlignment="1">
      <alignment horizontal="center" vertical="center" wrapText="1"/>
    </xf>
    <xf numFmtId="0" fontId="0" fillId="0" borderId="14" xfId="0" applyBorder="1" applyAlignment="1">
      <alignment horizontal="center" vertical="center"/>
    </xf>
    <xf numFmtId="0" fontId="0" fillId="0" borderId="0" xfId="0" applyAlignment="1">
      <alignment vertical="top" wrapText="1"/>
    </xf>
    <xf numFmtId="0" fontId="0" fillId="0" borderId="20" xfId="0" applyBorder="1" applyAlignment="1">
      <alignment horizontal="center" vertical="center"/>
    </xf>
    <xf numFmtId="0" fontId="18" fillId="0" borderId="20" xfId="0" applyFont="1" applyFill="1" applyBorder="1" applyAlignment="1">
      <alignment horizontal="center" vertical="center"/>
    </xf>
    <xf numFmtId="0" fontId="1" fillId="0" borderId="0" xfId="0" applyFont="1" applyBorder="1" applyAlignment="1">
      <alignment horizontal="center" vertical="top"/>
    </xf>
    <xf numFmtId="0" fontId="9" fillId="0" borderId="12" xfId="0" applyFont="1" applyBorder="1" applyAlignment="1">
      <alignment horizontal="right"/>
    </xf>
    <xf numFmtId="0" fontId="0" fillId="0" borderId="21" xfId="0" applyBorder="1" applyAlignment="1">
      <alignment horizontal="center" vertical="center"/>
    </xf>
    <xf numFmtId="0" fontId="1" fillId="0" borderId="14" xfId="0" applyFont="1" applyFill="1" applyBorder="1" applyAlignment="1">
      <alignment horizontal="center" vertical="center"/>
    </xf>
    <xf numFmtId="0" fontId="0" fillId="0" borderId="20" xfId="0" applyBorder="1" applyAlignment="1">
      <alignment horizontal="center" vertical="center"/>
    </xf>
    <xf numFmtId="0" fontId="156" fillId="0" borderId="11" xfId="0" quotePrefix="1" applyFont="1" applyBorder="1" applyAlignment="1">
      <alignment horizontal="center"/>
    </xf>
    <xf numFmtId="0" fontId="156" fillId="0" borderId="19" xfId="0" quotePrefix="1" applyFont="1" applyBorder="1" applyAlignment="1">
      <alignment horizontal="center"/>
    </xf>
    <xf numFmtId="0" fontId="156" fillId="0" borderId="13" xfId="0" quotePrefix="1" applyFont="1" applyBorder="1" applyAlignment="1">
      <alignment horizontal="center"/>
    </xf>
    <xf numFmtId="0" fontId="4" fillId="0" borderId="20" xfId="0" applyFont="1" applyBorder="1" applyAlignment="1">
      <alignment horizontal="center" vertical="center"/>
    </xf>
    <xf numFmtId="0" fontId="27" fillId="0" borderId="0" xfId="0" applyFont="1" applyBorder="1" applyAlignment="1">
      <alignment horizontal="center" vertical="center" wrapText="1"/>
    </xf>
    <xf numFmtId="0" fontId="28" fillId="0" borderId="0" xfId="0" applyFont="1" applyBorder="1" applyAlignment="1">
      <alignment horizontal="center" vertical="center"/>
    </xf>
    <xf numFmtId="0" fontId="21" fillId="0" borderId="0" xfId="0" applyFont="1" applyBorder="1" applyAlignment="1">
      <alignment horizontal="left" vertical="center"/>
    </xf>
    <xf numFmtId="0" fontId="23" fillId="0" borderId="18" xfId="0" quotePrefix="1" applyFont="1" applyBorder="1" applyAlignment="1">
      <alignment horizontal="center" vertical="center"/>
    </xf>
    <xf numFmtId="0" fontId="23" fillId="0" borderId="11" xfId="0" quotePrefix="1" applyFont="1" applyBorder="1" applyAlignment="1">
      <alignment horizontal="center" vertical="center"/>
    </xf>
    <xf numFmtId="0" fontId="4" fillId="0" borderId="0" xfId="0" applyFont="1" applyBorder="1" applyAlignment="1">
      <alignment horizontal="center" vertical="center"/>
    </xf>
    <xf numFmtId="0" fontId="4" fillId="0" borderId="16" xfId="0" applyFont="1" applyBorder="1" applyAlignment="1">
      <alignment horizontal="center" vertical="center"/>
    </xf>
    <xf numFmtId="0" fontId="0" fillId="0" borderId="0" xfId="0" applyBorder="1" applyAlignment="1">
      <alignment horizontal="center" vertical="center"/>
    </xf>
    <xf numFmtId="0" fontId="4" fillId="0" borderId="21" xfId="0" applyFont="1" applyBorder="1" applyAlignment="1">
      <alignment horizontal="center" vertical="center"/>
    </xf>
    <xf numFmtId="0" fontId="28" fillId="0" borderId="14" xfId="0" applyFont="1" applyBorder="1" applyAlignment="1">
      <alignment horizontal="center"/>
    </xf>
    <xf numFmtId="0" fontId="18" fillId="0" borderId="22" xfId="0" applyFont="1" applyBorder="1" applyAlignment="1">
      <alignment horizontal="center" vertical="center" wrapText="1"/>
    </xf>
    <xf numFmtId="0" fontId="21" fillId="0" borderId="17" xfId="0" applyFont="1" applyBorder="1" applyAlignment="1">
      <alignment horizontal="center" vertical="center"/>
    </xf>
    <xf numFmtId="0" fontId="21" fillId="0" borderId="16" xfId="0" applyFont="1" applyBorder="1" applyAlignment="1">
      <alignment horizontal="center" vertical="center"/>
    </xf>
    <xf numFmtId="0" fontId="18" fillId="0" borderId="24" xfId="0" applyFont="1" applyBorder="1" applyAlignment="1">
      <alignment horizontal="center" vertical="center" wrapText="1"/>
    </xf>
    <xf numFmtId="0" fontId="18" fillId="0" borderId="16" xfId="0" applyFont="1" applyBorder="1" applyAlignment="1">
      <alignment horizontal="center" vertical="center" wrapText="1"/>
    </xf>
    <xf numFmtId="0" fontId="0" fillId="0" borderId="21" xfId="0" applyBorder="1" applyAlignment="1">
      <alignment horizontal="center" vertical="center"/>
    </xf>
    <xf numFmtId="0" fontId="4" fillId="0" borderId="21" xfId="0" applyFont="1" applyBorder="1" applyAlignment="1">
      <alignment horizontal="center" vertical="center"/>
    </xf>
    <xf numFmtId="0" fontId="0" fillId="0" borderId="20" xfId="0" applyBorder="1" applyAlignment="1">
      <alignment horizontal="center" vertical="center"/>
    </xf>
    <xf numFmtId="1" fontId="28" fillId="0" borderId="0" xfId="0" applyNumberFormat="1" applyFont="1" applyBorder="1" applyAlignment="1">
      <alignment horizontal="center" vertical="center"/>
    </xf>
    <xf numFmtId="0" fontId="28" fillId="0" borderId="0" xfId="0" applyFont="1" applyBorder="1" applyAlignment="1" applyProtection="1">
      <alignment horizontal="left" vertical="center" wrapText="1"/>
      <protection locked="0"/>
    </xf>
    <xf numFmtId="1" fontId="0" fillId="0" borderId="0" xfId="0" applyNumberFormat="1" applyBorder="1" applyAlignment="1">
      <alignment horizontal="center"/>
    </xf>
    <xf numFmtId="1" fontId="4" fillId="0" borderId="0" xfId="0" applyNumberFormat="1" applyFont="1" applyFill="1" applyBorder="1" applyAlignment="1">
      <alignment horizontal="center" vertical="center"/>
    </xf>
    <xf numFmtId="1" fontId="1" fillId="0" borderId="20" xfId="0" applyNumberFormat="1" applyFont="1" applyFill="1" applyBorder="1" applyAlignment="1">
      <alignment horizontal="center" vertical="center"/>
    </xf>
    <xf numFmtId="1" fontId="1" fillId="0" borderId="21" xfId="0" applyNumberFormat="1" applyFont="1" applyFill="1" applyBorder="1" applyAlignment="1">
      <alignment horizontal="center" vertical="center"/>
    </xf>
    <xf numFmtId="0" fontId="1" fillId="0" borderId="0" xfId="0" applyFont="1"/>
    <xf numFmtId="1" fontId="1" fillId="0" borderId="0" xfId="0" applyNumberFormat="1" applyFont="1"/>
    <xf numFmtId="0" fontId="0" fillId="0" borderId="0" xfId="0" quotePrefix="1" applyAlignment="1">
      <alignment horizontal="center" vertical="center"/>
    </xf>
    <xf numFmtId="0" fontId="27" fillId="0" borderId="19" xfId="0" applyFont="1" applyBorder="1" applyAlignment="1">
      <alignment horizontal="center" vertical="center" wrapText="1"/>
    </xf>
    <xf numFmtId="0" fontId="1" fillId="0" borderId="14" xfId="0" applyFont="1" applyBorder="1" applyAlignment="1">
      <alignment horizontal="center" vertical="center"/>
    </xf>
    <xf numFmtId="0" fontId="1" fillId="0" borderId="15" xfId="0" applyFont="1" applyBorder="1" applyAlignment="1">
      <alignment horizontal="center" vertical="center"/>
    </xf>
    <xf numFmtId="2" fontId="0" fillId="0" borderId="17" xfId="0" applyNumberFormat="1" applyBorder="1" applyAlignment="1">
      <alignment horizontal="center" vertical="center"/>
    </xf>
    <xf numFmtId="2" fontId="0" fillId="0" borderId="16" xfId="0" applyNumberFormat="1" applyBorder="1" applyAlignment="1">
      <alignment horizontal="center" vertical="center"/>
    </xf>
    <xf numFmtId="2" fontId="92" fillId="0" borderId="21" xfId="0" applyNumberFormat="1" applyFont="1" applyFill="1" applyBorder="1" applyAlignment="1">
      <alignment horizontal="center" vertical="center"/>
    </xf>
    <xf numFmtId="1" fontId="1" fillId="0" borderId="17" xfId="0" applyNumberFormat="1" applyFont="1" applyBorder="1" applyAlignment="1">
      <alignment horizontal="center" vertical="center"/>
    </xf>
    <xf numFmtId="1" fontId="1" fillId="0" borderId="14" xfId="0" applyNumberFormat="1" applyFont="1" applyBorder="1" applyAlignment="1">
      <alignment horizontal="center" vertical="center"/>
    </xf>
    <xf numFmtId="1" fontId="1" fillId="0" borderId="0" xfId="0" applyNumberFormat="1" applyFont="1" applyBorder="1" applyAlignment="1">
      <alignment horizontal="center" vertical="center"/>
    </xf>
    <xf numFmtId="0" fontId="1" fillId="0" borderId="0" xfId="0" applyFont="1" applyAlignment="1">
      <alignment horizontal="center" vertical="center"/>
    </xf>
    <xf numFmtId="0" fontId="0" fillId="0" borderId="12" xfId="0" applyBorder="1" applyAlignment="1"/>
    <xf numFmtId="0" fontId="0" fillId="0" borderId="12" xfId="0" applyBorder="1" applyAlignment="1">
      <alignment horizontal="left"/>
    </xf>
    <xf numFmtId="0" fontId="0" fillId="0" borderId="0" xfId="0" applyFill="1" applyBorder="1" applyAlignment="1">
      <alignment horizontal="right" vertical="center"/>
    </xf>
    <xf numFmtId="0" fontId="57" fillId="0" borderId="0" xfId="0" applyFont="1" applyBorder="1" applyAlignment="1" applyProtection="1">
      <alignment vertical="center" wrapText="1"/>
      <protection locked="0"/>
    </xf>
    <xf numFmtId="0" fontId="18" fillId="0" borderId="20" xfId="0" applyFont="1" applyFill="1" applyBorder="1" applyAlignment="1">
      <alignment horizontal="center" vertical="center"/>
    </xf>
    <xf numFmtId="0" fontId="21" fillId="0" borderId="14" xfId="0" applyFont="1" applyBorder="1" applyAlignment="1">
      <alignment horizontal="left" vertical="center"/>
    </xf>
    <xf numFmtId="0" fontId="1" fillId="0" borderId="0" xfId="0" applyFont="1" applyBorder="1" applyAlignment="1">
      <alignment horizontal="center" vertical="center"/>
    </xf>
    <xf numFmtId="0" fontId="1" fillId="0" borderId="0" xfId="0" applyFont="1" applyBorder="1" applyAlignment="1">
      <alignment horizontal="center"/>
    </xf>
    <xf numFmtId="0" fontId="1" fillId="0" borderId="17" xfId="0" applyFont="1" applyBorder="1" applyAlignment="1">
      <alignment horizontal="center"/>
    </xf>
    <xf numFmtId="0" fontId="1" fillId="0" borderId="14" xfId="0" applyFont="1" applyBorder="1" applyAlignment="1">
      <alignment horizontal="center"/>
    </xf>
    <xf numFmtId="0" fontId="0" fillId="0" borderId="0" xfId="0" applyAlignment="1">
      <alignment horizontal="center"/>
    </xf>
    <xf numFmtId="0" fontId="18" fillId="0" borderId="18" xfId="0" applyFont="1" applyBorder="1" applyAlignment="1">
      <alignment horizontal="center" vertical="center" wrapText="1"/>
    </xf>
    <xf numFmtId="0" fontId="0" fillId="0" borderId="0" xfId="0" applyAlignment="1"/>
    <xf numFmtId="0" fontId="157" fillId="0" borderId="0" xfId="0" applyFont="1"/>
    <xf numFmtId="0" fontId="1" fillId="0" borderId="20" xfId="0" applyFont="1" applyBorder="1" applyAlignment="1" applyProtection="1">
      <alignment horizontal="center" vertical="center"/>
      <protection locked="0"/>
    </xf>
    <xf numFmtId="0" fontId="57" fillId="0" borderId="0" xfId="0" applyFont="1" applyBorder="1" applyAlignment="1">
      <alignment horizontal="right"/>
    </xf>
    <xf numFmtId="0" fontId="4" fillId="0" borderId="20" xfId="0" applyFont="1" applyBorder="1" applyAlignment="1">
      <alignment horizontal="center" vertical="center"/>
    </xf>
    <xf numFmtId="0" fontId="18" fillId="0" borderId="11" xfId="0" applyFont="1" applyBorder="1" applyAlignment="1">
      <alignment horizontal="center" vertical="center" wrapText="1"/>
    </xf>
    <xf numFmtId="0" fontId="23" fillId="0" borderId="11" xfId="0" quotePrefix="1" applyFont="1" applyBorder="1" applyAlignment="1">
      <alignment horizontal="center" vertical="center"/>
    </xf>
    <xf numFmtId="0" fontId="4" fillId="0" borderId="17" xfId="0" applyFont="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4" fillId="0" borderId="21" xfId="0" applyFont="1" applyBorder="1" applyAlignment="1">
      <alignment horizontal="center" vertical="center"/>
    </xf>
    <xf numFmtId="0" fontId="4" fillId="0" borderId="21" xfId="0" applyFont="1" applyFill="1" applyBorder="1" applyAlignment="1">
      <alignment horizontal="center" vertical="center"/>
    </xf>
    <xf numFmtId="0" fontId="128" fillId="0" borderId="0" xfId="0" applyFont="1" applyAlignment="1">
      <alignment horizontal="center"/>
    </xf>
    <xf numFmtId="0" fontId="127" fillId="0" borderId="0" xfId="0" applyFont="1" applyAlignment="1">
      <alignment horizontal="center"/>
    </xf>
    <xf numFmtId="0" fontId="32" fillId="0" borderId="0" xfId="0" applyFont="1" applyAlignment="1">
      <alignment horizontal="center"/>
    </xf>
    <xf numFmtId="0" fontId="129" fillId="0" borderId="0" xfId="0" applyFont="1" applyAlignment="1">
      <alignment horizontal="center"/>
    </xf>
    <xf numFmtId="0" fontId="151" fillId="0" borderId="0" xfId="0" applyFont="1" applyAlignment="1">
      <alignment horizontal="center"/>
    </xf>
    <xf numFmtId="0" fontId="60" fillId="0" borderId="0" xfId="0" applyFont="1" applyAlignment="1">
      <alignment horizontal="center"/>
    </xf>
    <xf numFmtId="0" fontId="59" fillId="0" borderId="0" xfId="0" applyFont="1" applyAlignment="1">
      <alignment horizontal="center"/>
    </xf>
    <xf numFmtId="0" fontId="61" fillId="0" borderId="0" xfId="0" applyFont="1" applyAlignment="1">
      <alignment horizontal="center" vertical="top"/>
    </xf>
    <xf numFmtId="0" fontId="33" fillId="0" borderId="0" xfId="0" applyFont="1" applyAlignment="1">
      <alignment horizontal="center"/>
    </xf>
    <xf numFmtId="0" fontId="65" fillId="0" borderId="0" xfId="0" applyFont="1" applyAlignment="1">
      <alignment horizontal="center"/>
    </xf>
    <xf numFmtId="0" fontId="100" fillId="0" borderId="0" xfId="0" applyFont="1" applyAlignment="1">
      <alignment horizontal="justify" vertical="justify" wrapText="1"/>
    </xf>
    <xf numFmtId="0" fontId="101" fillId="0" borderId="0" xfId="0" applyFont="1" applyAlignment="1">
      <alignment horizontal="justify" vertical="justify" wrapText="1"/>
    </xf>
    <xf numFmtId="0" fontId="102" fillId="0" borderId="0" xfId="0" applyFont="1" applyAlignment="1">
      <alignment horizontal="justify" vertical="justify" wrapText="1"/>
    </xf>
    <xf numFmtId="0" fontId="0" fillId="0" borderId="0" xfId="0" applyAlignment="1">
      <alignment wrapText="1"/>
    </xf>
    <xf numFmtId="0" fontId="132" fillId="0" borderId="0" xfId="0" applyFont="1" applyAlignment="1">
      <alignment horizontal="left"/>
    </xf>
    <xf numFmtId="0" fontId="34" fillId="0" borderId="10" xfId="0" applyFont="1" applyBorder="1" applyAlignment="1">
      <alignment horizontal="center" vertical="top"/>
    </xf>
    <xf numFmtId="0" fontId="0" fillId="0" borderId="0" xfId="0" applyAlignment="1">
      <alignment horizontal="center"/>
    </xf>
    <xf numFmtId="0" fontId="0" fillId="0" borderId="0" xfId="0" applyFill="1" applyBorder="1" applyAlignment="1">
      <alignment horizontal="center"/>
    </xf>
    <xf numFmtId="0" fontId="74" fillId="0" borderId="0" xfId="0" applyFont="1" applyAlignment="1">
      <alignment horizontal="center" vertical="top"/>
    </xf>
    <xf numFmtId="0" fontId="17" fillId="0" borderId="0" xfId="0" applyFont="1" applyBorder="1" applyAlignment="1">
      <alignment horizontal="center" vertical="center"/>
    </xf>
    <xf numFmtId="0" fontId="0" fillId="0" borderId="18" xfId="0" quotePrefix="1" applyBorder="1" applyAlignment="1">
      <alignment horizontal="center" vertical="center"/>
    </xf>
    <xf numFmtId="0" fontId="0" fillId="0" borderId="13" xfId="0" quotePrefix="1" applyBorder="1" applyAlignment="1">
      <alignment horizontal="center" vertical="center"/>
    </xf>
    <xf numFmtId="0" fontId="27" fillId="0" borderId="0" xfId="0" applyFont="1" applyBorder="1" applyAlignment="1">
      <alignment horizontal="center" vertical="center"/>
    </xf>
    <xf numFmtId="0" fontId="47" fillId="0" borderId="0" xfId="0" applyFont="1" applyAlignment="1">
      <alignment horizontal="right"/>
    </xf>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18" fillId="0" borderId="18" xfId="0" applyFont="1" applyBorder="1" applyAlignment="1">
      <alignment horizontal="center" vertical="center"/>
    </xf>
    <xf numFmtId="0" fontId="67" fillId="0" borderId="10" xfId="0" applyFont="1" applyBorder="1" applyAlignment="1">
      <alignment horizontal="center" vertical="center"/>
    </xf>
    <xf numFmtId="0" fontId="18" fillId="0" borderId="22"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wrapText="1"/>
    </xf>
    <xf numFmtId="0" fontId="18" fillId="0" borderId="21" xfId="0" applyFont="1" applyBorder="1" applyAlignment="1">
      <alignment horizontal="center" vertical="center" wrapText="1"/>
    </xf>
    <xf numFmtId="0" fontId="67" fillId="0" borderId="0" xfId="0" applyFont="1" applyBorder="1" applyAlignment="1">
      <alignment horizontal="center" vertical="center"/>
    </xf>
    <xf numFmtId="0" fontId="16" fillId="0" borderId="0" xfId="0" applyFont="1" applyBorder="1" applyAlignment="1">
      <alignment horizontal="center"/>
    </xf>
    <xf numFmtId="0" fontId="18" fillId="0" borderId="22" xfId="0" applyFont="1" applyBorder="1" applyAlignment="1">
      <alignment horizontal="center" vertical="top" wrapText="1"/>
    </xf>
    <xf numFmtId="0" fontId="18" fillId="0" borderId="21" xfId="0" applyFont="1" applyBorder="1" applyAlignment="1">
      <alignment horizontal="center" vertical="top" wrapText="1"/>
    </xf>
    <xf numFmtId="0" fontId="15" fillId="0" borderId="11" xfId="0" applyFont="1" applyBorder="1" applyAlignment="1">
      <alignment horizontal="center" vertical="center"/>
    </xf>
    <xf numFmtId="0" fontId="15" fillId="0" borderId="13" xfId="0" applyFont="1" applyBorder="1" applyAlignment="1">
      <alignment horizontal="center" vertical="center"/>
    </xf>
    <xf numFmtId="0" fontId="15" fillId="0" borderId="24"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21" fillId="0" borderId="17"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7" xfId="0" applyFont="1" applyBorder="1" applyAlignment="1">
      <alignment horizontal="center" vertical="center"/>
    </xf>
    <xf numFmtId="0" fontId="21" fillId="0" borderId="14" xfId="0" applyFont="1" applyBorder="1" applyAlignment="1">
      <alignment horizontal="center" vertical="center"/>
    </xf>
    <xf numFmtId="0" fontId="21" fillId="0" borderId="16" xfId="0" applyFont="1" applyBorder="1" applyAlignment="1">
      <alignment horizontal="center" vertical="center"/>
    </xf>
    <xf numFmtId="0" fontId="21"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5" xfId="0" applyFont="1" applyBorder="1" applyAlignment="1">
      <alignment horizontal="center" vertical="center"/>
    </xf>
    <xf numFmtId="0" fontId="67" fillId="0" borderId="0" xfId="0" applyFont="1" applyBorder="1" applyAlignment="1">
      <alignment horizontal="center" vertical="center" wrapText="1"/>
    </xf>
    <xf numFmtId="0" fontId="13" fillId="0" borderId="10" xfId="0" applyFont="1" applyBorder="1" applyAlignment="1">
      <alignment horizontal="right" vertical="top"/>
    </xf>
    <xf numFmtId="0" fontId="16" fillId="0" borderId="10" xfId="0" applyFont="1" applyBorder="1" applyAlignment="1">
      <alignment horizontal="left" vertical="center"/>
    </xf>
    <xf numFmtId="0" fontId="16" fillId="0" borderId="0" xfId="0" applyFont="1" applyBorder="1" applyAlignment="1">
      <alignment horizontal="left" vertical="center"/>
    </xf>
    <xf numFmtId="0" fontId="67" fillId="0" borderId="0" xfId="0" applyFont="1" applyBorder="1" applyAlignment="1">
      <alignment horizontal="center" vertical="top" wrapText="1"/>
    </xf>
    <xf numFmtId="0" fontId="18" fillId="0" borderId="20" xfId="0" applyFont="1" applyBorder="1"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6" fillId="0" borderId="10" xfId="0" applyFont="1" applyBorder="1" applyAlignment="1" applyProtection="1">
      <alignment horizontal="center" vertical="center"/>
    </xf>
    <xf numFmtId="0" fontId="18" fillId="0" borderId="24" xfId="0" applyFont="1" applyBorder="1" applyAlignment="1">
      <alignment horizontal="center" vertical="center"/>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8" xfId="0" applyFont="1" applyBorder="1" applyAlignment="1">
      <alignment horizontal="center" vertical="center" wrapText="1" shrinkToFit="1"/>
    </xf>
    <xf numFmtId="0" fontId="18" fillId="0" borderId="13" xfId="0" applyFont="1" applyBorder="1" applyAlignment="1">
      <alignment horizontal="center" vertical="center" shrinkToFit="1"/>
    </xf>
    <xf numFmtId="0" fontId="22" fillId="0" borderId="20" xfId="0" applyFont="1" applyBorder="1" applyAlignment="1">
      <alignment horizontal="left" vertical="center" wrapText="1"/>
    </xf>
    <xf numFmtId="0" fontId="9" fillId="0" borderId="0" xfId="0" applyFont="1" applyAlignment="1">
      <alignment horizontal="center" vertical="center"/>
    </xf>
    <xf numFmtId="0" fontId="97" fillId="0" borderId="0" xfId="0" applyFont="1" applyAlignment="1">
      <alignment horizontal="center" vertical="center"/>
    </xf>
    <xf numFmtId="0" fontId="9" fillId="0" borderId="0" xfId="0" applyFont="1" applyAlignment="1">
      <alignment horizontal="left" vertical="center" wrapText="1"/>
    </xf>
    <xf numFmtId="0" fontId="55" fillId="0" borderId="0" xfId="0" applyFont="1" applyAlignment="1">
      <alignment horizontal="left" vertical="center" wrapText="1"/>
    </xf>
    <xf numFmtId="0" fontId="22" fillId="0" borderId="20" xfId="0" applyFont="1" applyBorder="1" applyAlignment="1">
      <alignment horizontal="left" vertical="center"/>
    </xf>
    <xf numFmtId="1" fontId="0" fillId="0" borderId="14" xfId="0" applyNumberFormat="1" applyBorder="1" applyAlignment="1">
      <alignment horizontal="center" vertical="center"/>
    </xf>
    <xf numFmtId="0" fontId="17" fillId="0" borderId="20" xfId="0" applyFont="1" applyBorder="1" applyAlignment="1">
      <alignment horizontal="left"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7" fillId="0" borderId="0" xfId="0" applyFont="1" applyAlignment="1">
      <alignment vertical="top" wrapText="1"/>
    </xf>
    <xf numFmtId="0" fontId="27" fillId="0" borderId="0" xfId="0" applyFont="1" applyBorder="1" applyAlignment="1">
      <alignment horizontal="center" vertical="center" wrapText="1"/>
    </xf>
    <xf numFmtId="0" fontId="17" fillId="0" borderId="22" xfId="0" applyFont="1" applyBorder="1" applyAlignment="1">
      <alignment horizontal="center" vertical="center"/>
    </xf>
    <xf numFmtId="0" fontId="22" fillId="0" borderId="11" xfId="0" applyFont="1" applyBorder="1" applyAlignment="1">
      <alignment horizontal="center" vertical="center"/>
    </xf>
    <xf numFmtId="0" fontId="67" fillId="0" borderId="10" xfId="0" applyFont="1" applyBorder="1" applyAlignment="1">
      <alignment horizontal="center" vertical="center" wrapText="1"/>
    </xf>
    <xf numFmtId="0" fontId="27" fillId="0" borderId="0" xfId="0" applyFont="1" applyAlignment="1">
      <alignment horizontal="center"/>
    </xf>
    <xf numFmtId="0" fontId="57" fillId="0" borderId="12"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2" fontId="0" fillId="0" borderId="20" xfId="0" applyNumberFormat="1" applyBorder="1" applyAlignment="1" applyProtection="1">
      <alignment horizontal="center" vertical="center"/>
      <protection locked="0"/>
    </xf>
    <xf numFmtId="1" fontId="0" fillId="0" borderId="20" xfId="0" applyNumberFormat="1" applyBorder="1" applyAlignment="1">
      <alignment horizontal="center" vertical="center"/>
    </xf>
    <xf numFmtId="0" fontId="27" fillId="0" borderId="0" xfId="0" applyFont="1" applyBorder="1" applyAlignment="1">
      <alignment horizontal="center"/>
    </xf>
    <xf numFmtId="0" fontId="67" fillId="0" borderId="0" xfId="0" applyFont="1" applyBorder="1" applyAlignment="1">
      <alignment horizontal="center"/>
    </xf>
    <xf numFmtId="0" fontId="18" fillId="0" borderId="18" xfId="0" applyFont="1" applyBorder="1" applyAlignment="1">
      <alignment horizontal="center"/>
    </xf>
    <xf numFmtId="0" fontId="18" fillId="0" borderId="11" xfId="0" applyFont="1" applyBorder="1" applyAlignment="1">
      <alignment horizontal="center"/>
    </xf>
    <xf numFmtId="0" fontId="18" fillId="0" borderId="13" xfId="0" applyFont="1" applyBorder="1" applyAlignment="1">
      <alignment horizontal="center"/>
    </xf>
    <xf numFmtId="0" fontId="20" fillId="0" borderId="18" xfId="0" applyFont="1" applyBorder="1" applyAlignment="1">
      <alignment horizontal="center"/>
    </xf>
    <xf numFmtId="0" fontId="20" fillId="0" borderId="11" xfId="0" applyFont="1" applyBorder="1" applyAlignment="1">
      <alignment horizontal="center"/>
    </xf>
    <xf numFmtId="0" fontId="20" fillId="0" borderId="15" xfId="0" applyFont="1" applyBorder="1" applyAlignment="1">
      <alignment horizontal="center"/>
    </xf>
    <xf numFmtId="0" fontId="38" fillId="0" borderId="18" xfId="0" applyFont="1" applyBorder="1" applyAlignment="1">
      <alignment horizontal="center" vertical="center"/>
    </xf>
    <xf numFmtId="0" fontId="38" fillId="0" borderId="13" xfId="0" applyFont="1" applyBorder="1" applyAlignment="1">
      <alignment horizontal="center" vertical="center"/>
    </xf>
    <xf numFmtId="0" fontId="38" fillId="0" borderId="11" xfId="0" applyFont="1" applyBorder="1" applyAlignment="1">
      <alignment horizontal="center" vertical="center"/>
    </xf>
    <xf numFmtId="0" fontId="55" fillId="0" borderId="0" xfId="0" applyFont="1" applyAlignment="1">
      <alignment horizontal="right"/>
    </xf>
    <xf numFmtId="0" fontId="18" fillId="0" borderId="13" xfId="0" applyFont="1" applyBorder="1" applyAlignment="1">
      <alignment horizontal="center" vertical="center" wrapText="1"/>
    </xf>
    <xf numFmtId="0" fontId="18" fillId="0" borderId="23" xfId="0" applyFont="1" applyBorder="1" applyAlignment="1">
      <alignment horizontal="center" vertical="center"/>
    </xf>
    <xf numFmtId="0" fontId="18" fillId="0" borderId="15" xfId="0" applyFont="1" applyBorder="1" applyAlignment="1">
      <alignment horizontal="center" vertical="center"/>
    </xf>
    <xf numFmtId="0" fontId="55" fillId="0" borderId="12" xfId="0" applyFont="1" applyBorder="1" applyAlignment="1" applyProtection="1">
      <alignment vertical="top" wrapText="1"/>
      <protection locked="0"/>
    </xf>
    <xf numFmtId="0" fontId="55" fillId="0" borderId="12" xfId="0" applyFont="1" applyBorder="1" applyAlignment="1">
      <alignment vertical="top" wrapText="1"/>
    </xf>
    <xf numFmtId="0" fontId="137" fillId="0" borderId="10" xfId="0" applyFont="1" applyBorder="1" applyAlignment="1">
      <alignment horizontal="right" vertical="center"/>
    </xf>
    <xf numFmtId="0" fontId="55" fillId="0" borderId="12" xfId="0" applyFont="1" applyBorder="1" applyAlignment="1">
      <alignment horizontal="left" vertical="center"/>
    </xf>
    <xf numFmtId="0" fontId="55" fillId="0" borderId="0" xfId="0" applyFont="1" applyAlignment="1">
      <alignment horizontal="left" vertical="center"/>
    </xf>
    <xf numFmtId="0" fontId="66" fillId="0" borderId="18" xfId="0" applyFont="1" applyBorder="1" applyAlignment="1">
      <alignment horizontal="center" vertical="center" wrapText="1"/>
    </xf>
    <xf numFmtId="0" fontId="66" fillId="0" borderId="13" xfId="0" applyFont="1" applyBorder="1" applyAlignment="1">
      <alignment horizontal="center" vertical="center"/>
    </xf>
    <xf numFmtId="0" fontId="66" fillId="0" borderId="11" xfId="0" applyFont="1" applyBorder="1" applyAlignment="1">
      <alignment horizontal="center" vertical="center"/>
    </xf>
    <xf numFmtId="0" fontId="16" fillId="0" borderId="18" xfId="0" applyFont="1" applyBorder="1" applyAlignment="1">
      <alignment horizontal="center" vertical="center" wrapText="1"/>
    </xf>
    <xf numFmtId="0" fontId="16" fillId="0" borderId="13" xfId="0" applyFont="1" applyBorder="1" applyAlignment="1">
      <alignment horizontal="center" vertical="center" wrapText="1"/>
    </xf>
    <xf numFmtId="0" fontId="66" fillId="0" borderId="18" xfId="0" applyFont="1" applyBorder="1" applyAlignment="1">
      <alignment horizontal="center" vertical="center"/>
    </xf>
    <xf numFmtId="0" fontId="66" fillId="0" borderId="10" xfId="0" applyFont="1" applyBorder="1" applyAlignment="1">
      <alignment horizontal="right" vertical="center" wrapText="1"/>
    </xf>
    <xf numFmtId="0" fontId="55" fillId="0" borderId="0" xfId="0" applyFont="1" applyAlignment="1">
      <alignment horizontal="center" vertical="center"/>
    </xf>
    <xf numFmtId="0" fontId="0" fillId="0" borderId="17" xfId="0" applyBorder="1" applyAlignment="1">
      <alignment horizontal="left" vertical="center"/>
    </xf>
    <xf numFmtId="0" fontId="0" fillId="0" borderId="0" xfId="0" applyBorder="1" applyAlignment="1">
      <alignment horizontal="left" vertical="center"/>
    </xf>
    <xf numFmtId="0" fontId="11" fillId="0" borderId="17" xfId="0" quotePrefix="1" applyFont="1" applyBorder="1" applyAlignment="1">
      <alignment horizontal="right" vertical="center"/>
    </xf>
    <xf numFmtId="0" fontId="11" fillId="0" borderId="0" xfId="0" applyFont="1" applyBorder="1" applyAlignment="1">
      <alignment horizontal="right" vertical="center"/>
    </xf>
    <xf numFmtId="0" fontId="0" fillId="0" borderId="16" xfId="0" applyBorder="1" applyAlignment="1">
      <alignment horizontal="left" vertical="center"/>
    </xf>
    <xf numFmtId="0" fontId="0" fillId="0" borderId="10" xfId="0" applyBorder="1" applyAlignment="1">
      <alignment horizontal="left" vertical="center"/>
    </xf>
    <xf numFmtId="0" fontId="11" fillId="0" borderId="17" xfId="0" applyFont="1" applyBorder="1" applyAlignment="1">
      <alignment horizontal="right" vertical="center"/>
    </xf>
    <xf numFmtId="0" fontId="0" fillId="0" borderId="21" xfId="0" applyBorder="1"/>
    <xf numFmtId="0" fontId="18" fillId="0" borderId="2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0" xfId="0" applyFont="1" applyBorder="1" applyAlignment="1">
      <alignment horizontal="center" vertical="center" wrapText="1"/>
    </xf>
    <xf numFmtId="0" fontId="20" fillId="0" borderId="18" xfId="0" quotePrefix="1" applyFont="1" applyBorder="1" applyAlignment="1">
      <alignment horizontal="center" vertical="center"/>
    </xf>
    <xf numFmtId="0" fontId="20" fillId="0" borderId="11" xfId="0" quotePrefix="1" applyFont="1" applyBorder="1" applyAlignment="1">
      <alignment horizontal="center" vertical="center"/>
    </xf>
    <xf numFmtId="0" fontId="20" fillId="0" borderId="13" xfId="0" quotePrefix="1" applyFont="1" applyBorder="1" applyAlignment="1">
      <alignment horizontal="center" vertical="center"/>
    </xf>
    <xf numFmtId="0" fontId="18" fillId="0" borderId="11" xfId="0" applyFont="1" applyBorder="1" applyAlignment="1">
      <alignment horizontal="center" vertical="center" wrapText="1"/>
    </xf>
    <xf numFmtId="0" fontId="20" fillId="0" borderId="23" xfId="0" quotePrefix="1" applyFont="1" applyBorder="1" applyAlignment="1">
      <alignment horizontal="center" vertical="center"/>
    </xf>
    <xf numFmtId="0" fontId="55" fillId="0" borderId="12" xfId="0" applyFont="1" applyBorder="1" applyAlignment="1">
      <alignment horizontal="right"/>
    </xf>
    <xf numFmtId="2" fontId="0" fillId="0" borderId="17" xfId="0" applyNumberFormat="1" applyBorder="1" applyAlignment="1" applyProtection="1">
      <alignment horizontal="center" vertical="center"/>
    </xf>
    <xf numFmtId="2" fontId="0" fillId="0" borderId="0" xfId="0" applyNumberFormat="1" applyBorder="1" applyAlignment="1" applyProtection="1">
      <alignment horizontal="center" vertical="center"/>
    </xf>
    <xf numFmtId="1" fontId="0" fillId="0" borderId="17" xfId="0" applyNumberFormat="1" applyBorder="1" applyAlignment="1" applyProtection="1">
      <alignment horizontal="center" vertical="center"/>
      <protection locked="0"/>
    </xf>
    <xf numFmtId="1" fontId="0" fillId="0" borderId="0" xfId="0" applyNumberFormat="1" applyBorder="1" applyAlignment="1" applyProtection="1">
      <alignment horizontal="center" vertical="center"/>
      <protection locked="0"/>
    </xf>
    <xf numFmtId="0" fontId="24" fillId="0" borderId="18" xfId="0" applyFont="1" applyBorder="1" applyAlignment="1">
      <alignment horizontal="center" vertical="center"/>
    </xf>
    <xf numFmtId="0" fontId="24" fillId="0" borderId="13" xfId="0" applyFont="1" applyBorder="1" applyAlignment="1">
      <alignment horizontal="center" vertical="center"/>
    </xf>
    <xf numFmtId="1" fontId="3" fillId="0" borderId="17" xfId="0" applyNumberFormat="1" applyFont="1" applyBorder="1" applyAlignment="1" applyProtection="1">
      <alignment horizontal="center" vertical="center"/>
      <protection locked="0"/>
    </xf>
    <xf numFmtId="1" fontId="3" fillId="0" borderId="0" xfId="0" applyNumberFormat="1" applyFont="1" applyBorder="1" applyAlignment="1" applyProtection="1">
      <alignment horizontal="center" vertical="center"/>
      <protection locked="0"/>
    </xf>
    <xf numFmtId="2" fontId="24" fillId="0" borderId="18" xfId="0" applyNumberFormat="1" applyFont="1" applyBorder="1" applyAlignment="1">
      <alignment horizontal="center" vertical="center"/>
    </xf>
    <xf numFmtId="2" fontId="24" fillId="0" borderId="13" xfId="0" applyNumberFormat="1" applyFont="1" applyBorder="1" applyAlignment="1">
      <alignment horizontal="center" vertical="center"/>
    </xf>
    <xf numFmtId="1" fontId="24" fillId="0" borderId="18" xfId="0" applyNumberFormat="1" applyFont="1" applyBorder="1" applyAlignment="1">
      <alignment horizontal="center" vertical="center"/>
    </xf>
    <xf numFmtId="1" fontId="24" fillId="0" borderId="13" xfId="0" applyNumberFormat="1" applyFont="1" applyBorder="1" applyAlignment="1">
      <alignment horizontal="center" vertical="center"/>
    </xf>
    <xf numFmtId="0" fontId="18" fillId="0" borderId="18" xfId="0" quotePrefix="1" applyFont="1" applyBorder="1" applyAlignment="1">
      <alignment horizontal="center" vertical="top" wrapText="1"/>
    </xf>
    <xf numFmtId="0" fontId="18" fillId="0" borderId="13" xfId="0" applyFont="1" applyBorder="1" applyAlignment="1">
      <alignment horizontal="center" vertical="top" wrapText="1"/>
    </xf>
    <xf numFmtId="2" fontId="0" fillId="0" borderId="14" xfId="0" applyNumberFormat="1" applyBorder="1" applyAlignment="1" applyProtection="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2" fontId="0" fillId="0" borderId="16" xfId="0" applyNumberFormat="1" applyBorder="1" applyAlignment="1" applyProtection="1">
      <alignment horizontal="center" vertical="center"/>
    </xf>
    <xf numFmtId="2" fontId="0" fillId="0" borderId="15" xfId="0" applyNumberFormat="1" applyBorder="1" applyAlignment="1" applyProtection="1">
      <alignment horizontal="center" vertical="center"/>
    </xf>
    <xf numFmtId="1" fontId="0" fillId="0" borderId="14" xfId="0" applyNumberFormat="1" applyBorder="1" applyAlignment="1" applyProtection="1">
      <alignment horizontal="center" vertical="center"/>
      <protection locked="0"/>
    </xf>
    <xf numFmtId="0" fontId="0" fillId="0" borderId="16" xfId="0" applyBorder="1" applyAlignment="1">
      <alignment horizontal="center" vertical="center"/>
    </xf>
    <xf numFmtId="0" fontId="0" fillId="0" borderId="15" xfId="0" applyBorder="1" applyAlignment="1">
      <alignment horizontal="center" vertical="center"/>
    </xf>
    <xf numFmtId="0" fontId="66" fillId="0" borderId="10" xfId="0" applyFont="1" applyBorder="1" applyAlignment="1">
      <alignment horizontal="right" wrapText="1"/>
    </xf>
    <xf numFmtId="0" fontId="18" fillId="0" borderId="18" xfId="0" quotePrefix="1" applyFont="1" applyBorder="1" applyAlignment="1">
      <alignment horizontal="center" vertical="center" wrapText="1"/>
    </xf>
    <xf numFmtId="0" fontId="18" fillId="0" borderId="24" xfId="0" applyFont="1" applyBorder="1" applyAlignment="1">
      <alignment horizontal="center" vertical="top" wrapText="1"/>
    </xf>
    <xf numFmtId="0" fontId="18" fillId="0" borderId="23" xfId="0" applyFont="1" applyBorder="1" applyAlignment="1">
      <alignment horizontal="center" vertical="top" wrapText="1"/>
    </xf>
    <xf numFmtId="3" fontId="16" fillId="0" borderId="18" xfId="0" applyNumberFormat="1" applyFont="1" applyBorder="1" applyAlignment="1">
      <alignment horizontal="center" vertical="center"/>
    </xf>
    <xf numFmtId="3" fontId="16" fillId="0" borderId="11" xfId="0" applyNumberFormat="1" applyFont="1" applyBorder="1" applyAlignment="1">
      <alignment horizontal="center" vertical="center"/>
    </xf>
    <xf numFmtId="3" fontId="16" fillId="0" borderId="13" xfId="0" applyNumberFormat="1" applyFont="1" applyBorder="1" applyAlignment="1">
      <alignment horizontal="center" vertical="center"/>
    </xf>
    <xf numFmtId="0" fontId="20" fillId="0" borderId="22" xfId="0" applyFont="1" applyBorder="1" applyAlignment="1">
      <alignment horizontal="center" vertical="center" wrapText="1"/>
    </xf>
    <xf numFmtId="0" fontId="20" fillId="0" borderId="21" xfId="0" applyFont="1" applyBorder="1" applyAlignment="1">
      <alignment horizontal="center" vertical="center" wrapText="1"/>
    </xf>
    <xf numFmtId="0" fontId="28" fillId="0" borderId="0" xfId="0" applyFont="1" applyBorder="1" applyAlignment="1">
      <alignment horizontal="center" vertical="center"/>
    </xf>
    <xf numFmtId="0" fontId="80" fillId="0" borderId="12" xfId="0" applyFont="1" applyBorder="1" applyAlignment="1" applyProtection="1">
      <alignment horizontal="left" vertical="center" wrapText="1"/>
      <protection locked="0"/>
    </xf>
    <xf numFmtId="0" fontId="15" fillId="0" borderId="22"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15" fillId="0" borderId="21" xfId="0" applyFont="1" applyBorder="1" applyAlignment="1">
      <alignment vertical="center"/>
    </xf>
    <xf numFmtId="0" fontId="0" fillId="0" borderId="21" xfId="0" applyBorder="1" applyAlignment="1">
      <alignment vertical="center"/>
    </xf>
    <xf numFmtId="0" fontId="15" fillId="0" borderId="21"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15" fillId="0" borderId="13"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55" fillId="0" borderId="0" xfId="0" applyFont="1" applyAlignment="1" applyProtection="1">
      <alignment horizontal="left" vertical="top" wrapText="1"/>
      <protection locked="0"/>
    </xf>
    <xf numFmtId="0" fontId="27" fillId="0" borderId="0" xfId="0" applyFont="1" applyBorder="1" applyAlignment="1" applyProtection="1">
      <alignment horizontal="center" vertical="center"/>
      <protection locked="0"/>
    </xf>
    <xf numFmtId="0" fontId="67" fillId="0" borderId="0" xfId="0" applyFont="1" applyBorder="1" applyAlignment="1" applyProtection="1">
      <alignment horizontal="center" vertical="center" wrapText="1"/>
      <protection locked="0"/>
    </xf>
    <xf numFmtId="0" fontId="11" fillId="0" borderId="18" xfId="0" applyFont="1" applyBorder="1" applyAlignment="1" applyProtection="1">
      <alignment horizontal="center" vertical="center"/>
      <protection locked="0"/>
    </xf>
    <xf numFmtId="0" fontId="11" fillId="0" borderId="11" xfId="0" applyFont="1" applyBorder="1" applyAlignment="1">
      <alignment horizontal="center" vertical="center"/>
    </xf>
    <xf numFmtId="0" fontId="11" fillId="0" borderId="13" xfId="0" applyFont="1" applyBorder="1" applyAlignment="1">
      <alignment horizontal="center" vertical="center"/>
    </xf>
    <xf numFmtId="0" fontId="18" fillId="0" borderId="11"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18" fillId="0" borderId="22"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57" fillId="0" borderId="0" xfId="0" applyFont="1" applyAlignment="1" applyProtection="1">
      <alignment vertical="top" wrapText="1"/>
      <protection locked="0"/>
    </xf>
    <xf numFmtId="0" fontId="9" fillId="0" borderId="0" xfId="0" applyFont="1" applyAlignment="1">
      <alignment vertical="top" wrapText="1"/>
    </xf>
    <xf numFmtId="0" fontId="9" fillId="0" borderId="12"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27" fillId="0" borderId="18"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27" fillId="0" borderId="18"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80" fillId="0" borderId="12" xfId="0" applyFont="1" applyBorder="1" applyAlignment="1" applyProtection="1">
      <alignment vertical="center" wrapText="1"/>
      <protection locked="0"/>
    </xf>
    <xf numFmtId="0" fontId="0" fillId="0" borderId="12" xfId="0" applyBorder="1" applyAlignment="1">
      <alignment vertical="center" wrapText="1"/>
    </xf>
    <xf numFmtId="0" fontId="0" fillId="0" borderId="0" xfId="0" applyAlignment="1">
      <alignment vertical="center" wrapText="1"/>
    </xf>
    <xf numFmtId="0" fontId="0" fillId="0" borderId="0" xfId="0" applyAlignment="1">
      <alignment horizontal="left" wrapText="1"/>
    </xf>
    <xf numFmtId="0" fontId="67" fillId="0" borderId="0" xfId="0" applyFont="1" applyBorder="1" applyAlignment="1" applyProtection="1">
      <alignment horizontal="center" vertical="top" wrapText="1"/>
      <protection locked="0"/>
    </xf>
    <xf numFmtId="0" fontId="0" fillId="0" borderId="0" xfId="0" applyAlignment="1">
      <alignment vertical="top" wrapText="1"/>
    </xf>
    <xf numFmtId="0" fontId="57" fillId="0" borderId="0" xfId="0" applyFont="1" applyAlignment="1" applyProtection="1">
      <alignment horizontal="left" vertical="top" wrapText="1"/>
      <protection locked="0"/>
    </xf>
    <xf numFmtId="0" fontId="9" fillId="0" borderId="0" xfId="0" applyFont="1" applyAlignment="1">
      <alignment horizontal="left" vertical="top" wrapText="1"/>
    </xf>
    <xf numFmtId="0" fontId="79" fillId="0" borderId="12" xfId="0" applyFont="1" applyBorder="1" applyAlignment="1" applyProtection="1">
      <alignment horizontal="left" vertical="top" wrapText="1"/>
      <protection locked="0"/>
    </xf>
    <xf numFmtId="0" fontId="79" fillId="0" borderId="0" xfId="0" applyFont="1" applyBorder="1" applyAlignment="1" applyProtection="1">
      <alignment horizontal="left" vertical="top" wrapText="1"/>
      <protection locked="0"/>
    </xf>
    <xf numFmtId="0" fontId="50" fillId="0" borderId="12" xfId="0" applyFont="1" applyBorder="1" applyAlignment="1">
      <alignment horizontal="right"/>
    </xf>
    <xf numFmtId="0" fontId="20" fillId="0" borderId="22" xfId="0" applyFont="1" applyBorder="1" applyAlignment="1" applyProtection="1">
      <alignment horizontal="center" vertical="center" wrapText="1"/>
      <protection locked="0"/>
    </xf>
    <xf numFmtId="0" fontId="20" fillId="0" borderId="21" xfId="0" applyFont="1" applyBorder="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0" borderId="14" xfId="0" applyFont="1" applyBorder="1" applyAlignment="1" applyProtection="1">
      <alignment horizontal="center" vertical="center" wrapText="1"/>
      <protection locked="0"/>
    </xf>
    <xf numFmtId="0" fontId="20" fillId="0" borderId="11" xfId="0" applyFont="1" applyBorder="1" applyAlignment="1" applyProtection="1">
      <alignment horizontal="center" vertical="center"/>
      <protection locked="0"/>
    </xf>
    <xf numFmtId="0" fontId="20" fillId="0" borderId="13"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23"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8" fillId="0" borderId="17" xfId="0" applyFont="1" applyBorder="1" applyAlignment="1">
      <alignment horizontal="left" vertical="center" wrapText="1"/>
    </xf>
    <xf numFmtId="0" fontId="14" fillId="0" borderId="0" xfId="0" applyFont="1" applyBorder="1" applyAlignment="1">
      <alignment horizontal="left" vertical="center" wrapText="1"/>
    </xf>
    <xf numFmtId="0" fontId="14" fillId="0" borderId="14" xfId="0" applyFont="1" applyBorder="1" applyAlignment="1">
      <alignment horizontal="left" vertical="center" wrapText="1"/>
    </xf>
    <xf numFmtId="0" fontId="28" fillId="0" borderId="24" xfId="0" applyFont="1" applyBorder="1" applyAlignment="1">
      <alignment horizontal="left"/>
    </xf>
    <xf numFmtId="0" fontId="28" fillId="0" borderId="12" xfId="0" applyFont="1" applyBorder="1" applyAlignment="1">
      <alignment horizontal="left"/>
    </xf>
    <xf numFmtId="0" fontId="28" fillId="0" borderId="23" xfId="0" applyFont="1" applyBorder="1" applyAlignment="1">
      <alignment horizontal="left"/>
    </xf>
    <xf numFmtId="0" fontId="28" fillId="0" borderId="16" xfId="0" applyFont="1" applyBorder="1" applyAlignment="1">
      <alignment horizontal="left" vertical="center"/>
    </xf>
    <xf numFmtId="0" fontId="28" fillId="0" borderId="10" xfId="0" applyFont="1" applyBorder="1" applyAlignment="1">
      <alignment horizontal="left" vertical="center"/>
    </xf>
    <xf numFmtId="0" fontId="28" fillId="0" borderId="15" xfId="0" applyFont="1" applyBorder="1" applyAlignment="1">
      <alignment horizontal="left" vertical="center"/>
    </xf>
    <xf numFmtId="0" fontId="24" fillId="0" borderId="0" xfId="0" applyFont="1" applyBorder="1" applyAlignment="1">
      <alignment horizontal="justify" vertical="top" wrapText="1"/>
    </xf>
    <xf numFmtId="0" fontId="24" fillId="0" borderId="14" xfId="0" applyFont="1" applyBorder="1" applyAlignment="1">
      <alignment horizontal="justify" vertical="top" wrapText="1"/>
    </xf>
    <xf numFmtId="0" fontId="24" fillId="0" borderId="0" xfId="0" applyFont="1" applyBorder="1" applyAlignment="1">
      <alignment horizontal="left" vertical="top" wrapText="1"/>
    </xf>
    <xf numFmtId="0" fontId="24" fillId="0" borderId="14" xfId="0" applyFont="1" applyBorder="1" applyAlignment="1">
      <alignment horizontal="left" vertical="top" wrapText="1"/>
    </xf>
    <xf numFmtId="0" fontId="156" fillId="0" borderId="18" xfId="0" quotePrefix="1" applyFont="1" applyBorder="1" applyAlignment="1">
      <alignment horizontal="center"/>
    </xf>
    <xf numFmtId="0" fontId="156" fillId="0" borderId="11" xfId="0" quotePrefix="1" applyFont="1" applyBorder="1" applyAlignment="1">
      <alignment horizontal="center"/>
    </xf>
    <xf numFmtId="0" fontId="156" fillId="0" borderId="13" xfId="0" quotePrefix="1" applyFont="1" applyBorder="1" applyAlignment="1">
      <alignment horizontal="center"/>
    </xf>
    <xf numFmtId="0" fontId="18" fillId="0" borderId="12" xfId="0" applyFont="1" applyBorder="1" applyAlignment="1">
      <alignment horizontal="center" vertical="center"/>
    </xf>
    <xf numFmtId="0" fontId="18" fillId="0" borderId="10" xfId="0" applyFont="1" applyBorder="1" applyAlignment="1">
      <alignment horizontal="center" vertical="center"/>
    </xf>
    <xf numFmtId="0" fontId="13" fillId="0" borderId="18" xfId="0"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center" vertical="center"/>
    </xf>
    <xf numFmtId="0" fontId="0" fillId="0" borderId="18" xfId="0" quotePrefix="1" applyBorder="1" applyAlignment="1">
      <alignment horizontal="center"/>
    </xf>
    <xf numFmtId="0" fontId="0" fillId="0" borderId="11" xfId="0" quotePrefix="1" applyBorder="1" applyAlignment="1">
      <alignment horizontal="center"/>
    </xf>
    <xf numFmtId="0" fontId="0" fillId="0" borderId="13" xfId="0" quotePrefix="1" applyBorder="1" applyAlignment="1">
      <alignment horizontal="center"/>
    </xf>
    <xf numFmtId="0" fontId="24" fillId="0" borderId="0" xfId="0" applyFont="1" applyBorder="1" applyAlignment="1">
      <alignment horizontal="left"/>
    </xf>
    <xf numFmtId="0" fontId="24" fillId="0" borderId="14" xfId="0" applyFont="1" applyBorder="1" applyAlignment="1">
      <alignment horizontal="left"/>
    </xf>
    <xf numFmtId="0" fontId="28" fillId="0" borderId="16" xfId="0" applyFont="1" applyBorder="1" applyAlignment="1">
      <alignment horizontal="left"/>
    </xf>
    <xf numFmtId="0" fontId="28" fillId="0" borderId="10" xfId="0" applyFont="1" applyBorder="1" applyAlignment="1">
      <alignment horizontal="left"/>
    </xf>
    <xf numFmtId="0" fontId="28" fillId="0" borderId="15" xfId="0" applyFont="1" applyBorder="1" applyAlignment="1">
      <alignment horizontal="left"/>
    </xf>
    <xf numFmtId="0" fontId="24" fillId="0" borderId="11" xfId="0" applyFont="1" applyBorder="1" applyAlignment="1">
      <alignment horizontal="center"/>
    </xf>
    <xf numFmtId="0" fontId="24" fillId="0" borderId="13" xfId="0" applyFont="1" applyBorder="1" applyAlignment="1">
      <alignment horizontal="center"/>
    </xf>
    <xf numFmtId="0" fontId="28" fillId="0" borderId="17" xfId="0" applyFont="1" applyBorder="1" applyAlignment="1">
      <alignment horizontal="left"/>
    </xf>
    <xf numFmtId="0" fontId="28" fillId="0" borderId="0" xfId="0" applyFont="1" applyBorder="1" applyAlignment="1">
      <alignment horizontal="left"/>
    </xf>
    <xf numFmtId="0" fontId="28" fillId="0" borderId="14" xfId="0" applyFont="1" applyBorder="1" applyAlignment="1">
      <alignment horizontal="left"/>
    </xf>
    <xf numFmtId="0" fontId="57" fillId="0" borderId="0" xfId="0" applyFont="1" applyAlignment="1" applyProtection="1">
      <alignment horizontal="left"/>
      <protection locked="0"/>
    </xf>
    <xf numFmtId="0" fontId="21" fillId="0" borderId="17" xfId="0" applyFont="1" applyBorder="1" applyAlignment="1">
      <alignment horizontal="left" vertical="center"/>
    </xf>
    <xf numFmtId="0" fontId="21" fillId="0" borderId="0" xfId="0" applyFont="1" applyBorder="1" applyAlignment="1">
      <alignment horizontal="left" vertical="center"/>
    </xf>
    <xf numFmtId="0" fontId="21" fillId="0" borderId="14" xfId="0" applyFont="1" applyBorder="1" applyAlignment="1">
      <alignment horizontal="left" vertical="center"/>
    </xf>
    <xf numFmtId="0" fontId="21" fillId="0" borderId="17" xfId="0" applyFont="1" applyBorder="1" applyAlignment="1">
      <alignment horizontal="left" vertical="center" wrapText="1"/>
    </xf>
    <xf numFmtId="0" fontId="21" fillId="0" borderId="0" xfId="0" applyFont="1" applyBorder="1" applyAlignment="1">
      <alignment horizontal="left" vertical="center" wrapText="1"/>
    </xf>
    <xf numFmtId="0" fontId="21" fillId="0" borderId="14" xfId="0" applyFont="1" applyBorder="1" applyAlignment="1">
      <alignment horizontal="left" vertical="center" wrapText="1"/>
    </xf>
    <xf numFmtId="0" fontId="21" fillId="0" borderId="16" xfId="0" applyFont="1" applyBorder="1" applyAlignment="1">
      <alignment horizontal="left" vertical="center"/>
    </xf>
    <xf numFmtId="0" fontId="21" fillId="0" borderId="10" xfId="0" applyFont="1" applyBorder="1" applyAlignment="1">
      <alignment horizontal="left" vertical="center"/>
    </xf>
    <xf numFmtId="0" fontId="21" fillId="0" borderId="15" xfId="0" applyFont="1" applyBorder="1" applyAlignment="1">
      <alignment horizontal="left" vertical="center"/>
    </xf>
    <xf numFmtId="0" fontId="21" fillId="0" borderId="17" xfId="0" applyFont="1" applyBorder="1" applyAlignment="1">
      <alignment horizontal="left" vertical="top" wrapText="1"/>
    </xf>
    <xf numFmtId="0" fontId="21" fillId="0" borderId="0" xfId="0" applyFont="1" applyBorder="1" applyAlignment="1">
      <alignment horizontal="left" vertical="top" wrapText="1"/>
    </xf>
    <xf numFmtId="0" fontId="21" fillId="0" borderId="14" xfId="0" applyFont="1" applyBorder="1" applyAlignment="1">
      <alignment horizontal="left" vertical="top" wrapText="1"/>
    </xf>
    <xf numFmtId="0" fontId="24" fillId="0" borderId="11" xfId="0" applyFont="1" applyBorder="1" applyAlignment="1">
      <alignment horizontal="center" vertical="center"/>
    </xf>
    <xf numFmtId="0" fontId="67" fillId="0" borderId="0" xfId="0" applyFont="1" applyBorder="1" applyAlignment="1">
      <alignment horizontal="center" wrapText="1"/>
    </xf>
    <xf numFmtId="0" fontId="0" fillId="0" borderId="11" xfId="0" quotePrefix="1" applyBorder="1" applyAlignment="1">
      <alignment horizontal="center" vertical="center"/>
    </xf>
    <xf numFmtId="0" fontId="21" fillId="0" borderId="24" xfId="0" applyFont="1" applyBorder="1" applyAlignment="1">
      <alignment vertical="center"/>
    </xf>
    <xf numFmtId="0" fontId="21" fillId="0" borderId="12" xfId="0" applyFont="1" applyBorder="1" applyAlignment="1">
      <alignment vertical="center"/>
    </xf>
    <xf numFmtId="0" fontId="21" fillId="0" borderId="23" xfId="0" applyFont="1" applyBorder="1" applyAlignment="1">
      <alignment vertical="center"/>
    </xf>
    <xf numFmtId="0" fontId="28" fillId="0" borderId="17" xfId="0" applyFont="1" applyBorder="1" applyAlignment="1">
      <alignment horizontal="left" vertical="top" wrapText="1"/>
    </xf>
    <xf numFmtId="0" fontId="14" fillId="0" borderId="0" xfId="0" applyFont="1" applyBorder="1" applyAlignment="1">
      <alignment horizontal="left" vertical="top" wrapText="1"/>
    </xf>
    <xf numFmtId="0" fontId="14" fillId="0" borderId="14" xfId="0" applyFont="1" applyBorder="1" applyAlignment="1">
      <alignment horizontal="left" vertical="top" wrapText="1"/>
    </xf>
    <xf numFmtId="0" fontId="69" fillId="0" borderId="0" xfId="0" applyFont="1" applyBorder="1" applyAlignment="1">
      <alignment horizontal="left" vertical="top" wrapText="1"/>
    </xf>
    <xf numFmtId="0" fontId="69" fillId="0" borderId="14" xfId="0" applyFont="1" applyBorder="1" applyAlignment="1">
      <alignment horizontal="left" vertical="top" wrapText="1"/>
    </xf>
    <xf numFmtId="0" fontId="18" fillId="0" borderId="0" xfId="0" applyFont="1" applyBorder="1" applyAlignment="1">
      <alignment horizontal="center" vertical="center"/>
    </xf>
    <xf numFmtId="0" fontId="18" fillId="0" borderId="14" xfId="0" applyFont="1" applyBorder="1" applyAlignment="1">
      <alignment horizontal="center" vertical="center"/>
    </xf>
    <xf numFmtId="0" fontId="23" fillId="0" borderId="18" xfId="0" quotePrefix="1" applyFont="1" applyBorder="1" applyAlignment="1">
      <alignment horizontal="center"/>
    </xf>
    <xf numFmtId="0" fontId="23" fillId="0" borderId="11" xfId="0" quotePrefix="1" applyFont="1" applyBorder="1" applyAlignment="1">
      <alignment horizontal="center"/>
    </xf>
    <xf numFmtId="0" fontId="23" fillId="0" borderId="13" xfId="0" quotePrefix="1" applyFont="1" applyBorder="1" applyAlignment="1">
      <alignment horizontal="center"/>
    </xf>
    <xf numFmtId="0" fontId="13" fillId="0" borderId="10" xfId="0" applyFont="1" applyBorder="1" applyAlignment="1">
      <alignment horizontal="right" vertical="center"/>
    </xf>
    <xf numFmtId="0" fontId="23" fillId="0" borderId="18" xfId="0" quotePrefix="1" applyFont="1" applyBorder="1" applyAlignment="1">
      <alignment horizontal="center" vertical="center"/>
    </xf>
    <xf numFmtId="0" fontId="23" fillId="0" borderId="11" xfId="0" quotePrefix="1" applyFont="1" applyBorder="1" applyAlignment="1">
      <alignment horizontal="center" vertical="center"/>
    </xf>
    <xf numFmtId="0" fontId="28" fillId="0" borderId="24" xfId="0" applyFont="1" applyBorder="1" applyAlignment="1">
      <alignment horizontal="left" vertical="center"/>
    </xf>
    <xf numFmtId="0" fontId="28" fillId="0" borderId="12" xfId="0" applyFont="1" applyBorder="1" applyAlignment="1">
      <alignment horizontal="left" vertical="center"/>
    </xf>
    <xf numFmtId="0" fontId="28" fillId="0" borderId="23" xfId="0" applyFont="1" applyBorder="1" applyAlignment="1">
      <alignment horizontal="left" vertical="center"/>
    </xf>
    <xf numFmtId="0" fontId="23" fillId="0" borderId="13" xfId="0" quotePrefix="1" applyFont="1" applyBorder="1" applyAlignment="1">
      <alignment horizontal="center" vertical="center"/>
    </xf>
    <xf numFmtId="0" fontId="13" fillId="0" borderId="18" xfId="0" applyFont="1" applyBorder="1" applyAlignment="1">
      <alignment horizontal="center"/>
    </xf>
    <xf numFmtId="0" fontId="13" fillId="0" borderId="11" xfId="0" applyFont="1" applyBorder="1" applyAlignment="1">
      <alignment horizontal="center"/>
    </xf>
    <xf numFmtId="0" fontId="13" fillId="0" borderId="13" xfId="0" applyFont="1" applyBorder="1" applyAlignment="1">
      <alignment horizontal="center"/>
    </xf>
    <xf numFmtId="0" fontId="24" fillId="0" borderId="0" xfId="0" applyFont="1" applyBorder="1" applyAlignment="1">
      <alignment horizontal="left" vertical="center" wrapText="1"/>
    </xf>
    <xf numFmtId="0" fontId="24" fillId="0" borderId="14" xfId="0" applyFont="1" applyBorder="1" applyAlignment="1">
      <alignment horizontal="left" vertical="center" wrapText="1"/>
    </xf>
    <xf numFmtId="0" fontId="28" fillId="0" borderId="17" xfId="0" applyFont="1" applyBorder="1" applyAlignment="1">
      <alignment horizontal="left" vertical="center"/>
    </xf>
    <xf numFmtId="0" fontId="28" fillId="0" borderId="0" xfId="0" applyFont="1" applyBorder="1" applyAlignment="1">
      <alignment horizontal="left" vertical="center"/>
    </xf>
    <xf numFmtId="0" fontId="28" fillId="0" borderId="14" xfId="0" applyFont="1" applyBorder="1" applyAlignment="1">
      <alignment horizontal="left" vertical="center"/>
    </xf>
    <xf numFmtId="0" fontId="21" fillId="0" borderId="24" xfId="0" applyFont="1" applyBorder="1" applyAlignment="1">
      <alignment horizontal="left" vertical="center"/>
    </xf>
    <xf numFmtId="0" fontId="21" fillId="0" borderId="12" xfId="0" applyFont="1" applyBorder="1" applyAlignment="1">
      <alignment horizontal="left" vertical="center"/>
    </xf>
    <xf numFmtId="0" fontId="21" fillId="0" borderId="23" xfId="0" applyFont="1" applyBorder="1" applyAlignment="1">
      <alignment horizontal="left" vertical="center"/>
    </xf>
    <xf numFmtId="0" fontId="20" fillId="0" borderId="18" xfId="0" applyFont="1" applyBorder="1" applyAlignment="1">
      <alignment horizontal="center" vertical="center"/>
    </xf>
    <xf numFmtId="0" fontId="20" fillId="0" borderId="11" xfId="0" applyFont="1" applyBorder="1" applyAlignment="1">
      <alignment horizontal="center" vertical="center"/>
    </xf>
    <xf numFmtId="0" fontId="20" fillId="0" borderId="13" xfId="0" applyFont="1" applyBorder="1" applyAlignment="1">
      <alignment horizontal="center" vertical="center"/>
    </xf>
    <xf numFmtId="0" fontId="50" fillId="0" borderId="0" xfId="0" applyFont="1" applyAlignment="1" applyProtection="1">
      <alignment horizontal="left" vertical="center"/>
      <protection locked="0"/>
    </xf>
    <xf numFmtId="0" fontId="50" fillId="0" borderId="12" xfId="0" applyFont="1" applyBorder="1" applyAlignment="1" applyProtection="1">
      <alignment horizontal="center" vertical="center" wrapText="1"/>
      <protection locked="0"/>
    </xf>
    <xf numFmtId="0" fontId="50" fillId="0" borderId="0" xfId="0" applyFont="1" applyBorder="1" applyAlignment="1" applyProtection="1">
      <alignment horizontal="center" vertical="center" wrapText="1"/>
      <protection locked="0"/>
    </xf>
    <xf numFmtId="0" fontId="97" fillId="0" borderId="12" xfId="0" applyFont="1" applyBorder="1" applyAlignment="1" applyProtection="1">
      <alignment vertical="top" wrapText="1"/>
      <protection locked="0"/>
    </xf>
    <xf numFmtId="0" fontId="97" fillId="0" borderId="0" xfId="0" applyFont="1" applyBorder="1" applyAlignment="1" applyProtection="1">
      <alignment vertical="top" wrapText="1"/>
      <protection locked="0"/>
    </xf>
    <xf numFmtId="0" fontId="50" fillId="0" borderId="12" xfId="0" applyFont="1" applyBorder="1" applyAlignment="1" applyProtection="1">
      <alignment horizontal="center"/>
      <protection locked="0"/>
    </xf>
    <xf numFmtId="0" fontId="70" fillId="0" borderId="0" xfId="0" applyFont="1" applyBorder="1" applyAlignment="1">
      <alignment horizontal="center" vertical="center" wrapText="1"/>
    </xf>
    <xf numFmtId="0" fontId="23" fillId="0" borderId="24" xfId="0" quotePrefix="1" applyFont="1" applyBorder="1" applyAlignment="1">
      <alignment horizontal="center" vertical="center"/>
    </xf>
    <xf numFmtId="0" fontId="23" fillId="0" borderId="23" xfId="0" quotePrefix="1" applyFont="1" applyBorder="1" applyAlignment="1">
      <alignment horizontal="center" vertical="center"/>
    </xf>
    <xf numFmtId="0" fontId="21" fillId="0" borderId="24" xfId="0" applyFont="1" applyBorder="1" applyAlignment="1">
      <alignment horizontal="center" vertical="center"/>
    </xf>
    <xf numFmtId="0" fontId="21" fillId="0" borderId="23" xfId="0" applyFont="1" applyBorder="1" applyAlignment="1">
      <alignment horizontal="center" vertical="center"/>
    </xf>
    <xf numFmtId="0" fontId="21" fillId="0" borderId="0" xfId="0" applyFont="1" applyFill="1" applyBorder="1" applyAlignment="1">
      <alignment horizontal="center" vertical="center"/>
    </xf>
    <xf numFmtId="0" fontId="23" fillId="0" borderId="12" xfId="0" quotePrefix="1" applyFont="1" applyBorder="1" applyAlignment="1">
      <alignment horizontal="center" vertical="center"/>
    </xf>
    <xf numFmtId="0" fontId="23" fillId="0" borderId="13" xfId="0" applyFont="1" applyBorder="1" applyAlignment="1">
      <alignment horizontal="center" vertical="center"/>
    </xf>
    <xf numFmtId="0" fontId="18" fillId="0" borderId="20" xfId="0" applyFont="1" applyBorder="1" applyAlignment="1">
      <alignment horizontal="center" vertical="top" wrapText="1"/>
    </xf>
    <xf numFmtId="0" fontId="67" fillId="0" borderId="0" xfId="0" applyFont="1" applyBorder="1" applyAlignment="1">
      <alignment horizontal="center" vertical="top"/>
    </xf>
    <xf numFmtId="0" fontId="21" fillId="0" borderId="16"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24" xfId="0" applyFont="1" applyFill="1" applyBorder="1" applyAlignment="1">
      <alignment horizontal="center" vertical="center"/>
    </xf>
    <xf numFmtId="0" fontId="21" fillId="0" borderId="23" xfId="0" applyFont="1" applyFill="1" applyBorder="1" applyAlignment="1">
      <alignment horizontal="center" vertical="center"/>
    </xf>
    <xf numFmtId="0" fontId="25" fillId="0" borderId="16" xfId="0" applyFont="1" applyBorder="1" applyAlignment="1">
      <alignment horizontal="center" vertical="center" wrapText="1"/>
    </xf>
    <xf numFmtId="0" fontId="25"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0" xfId="0" applyFont="1" applyBorder="1" applyAlignment="1">
      <alignment horizontal="center" vertical="center"/>
    </xf>
    <xf numFmtId="2" fontId="4" fillId="0" borderId="17" xfId="0" applyNumberFormat="1" applyFont="1" applyFill="1" applyBorder="1" applyAlignment="1">
      <alignment horizontal="center" vertical="center"/>
    </xf>
    <xf numFmtId="2" fontId="4" fillId="0" borderId="14" xfId="0" applyNumberFormat="1"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27" fillId="0" borderId="0" xfId="0" applyFont="1" applyAlignment="1">
      <alignment horizontal="center" vertical="center"/>
    </xf>
    <xf numFmtId="0" fontId="38" fillId="0" borderId="22" xfId="0" applyFont="1" applyBorder="1" applyAlignment="1">
      <alignment horizontal="center" vertical="center"/>
    </xf>
    <xf numFmtId="0" fontId="38" fillId="0" borderId="21" xfId="0" applyFont="1" applyBorder="1" applyAlignment="1">
      <alignment horizontal="center" vertical="center"/>
    </xf>
    <xf numFmtId="2" fontId="4" fillId="0" borderId="24" xfId="0" applyNumberFormat="1" applyFont="1" applyFill="1" applyBorder="1" applyAlignment="1">
      <alignment horizontal="center" vertical="center"/>
    </xf>
    <xf numFmtId="2" fontId="4" fillId="0" borderId="23" xfId="0" applyNumberFormat="1" applyFont="1" applyFill="1" applyBorder="1" applyAlignment="1">
      <alignment horizontal="center" vertical="center"/>
    </xf>
    <xf numFmtId="0" fontId="4" fillId="0" borderId="24" xfId="0" applyFont="1" applyBorder="1" applyAlignment="1">
      <alignment horizontal="center" vertical="center"/>
    </xf>
    <xf numFmtId="0" fontId="4" fillId="0" borderId="23" xfId="0" applyFont="1" applyBorder="1" applyAlignment="1">
      <alignment horizontal="center" vertical="center"/>
    </xf>
    <xf numFmtId="2" fontId="4" fillId="0" borderId="24" xfId="0" applyNumberFormat="1" applyFont="1" applyBorder="1" applyAlignment="1">
      <alignment horizontal="center" vertical="center"/>
    </xf>
    <xf numFmtId="2" fontId="4" fillId="0" borderId="23" xfId="0" applyNumberFormat="1" applyFont="1" applyBorder="1" applyAlignment="1">
      <alignment horizontal="center" vertical="center"/>
    </xf>
    <xf numFmtId="0" fontId="20" fillId="0" borderId="24" xfId="0" applyFont="1" applyBorder="1" applyAlignment="1">
      <alignment horizontal="center" vertical="center"/>
    </xf>
    <xf numFmtId="0" fontId="20" fillId="0" borderId="12" xfId="0" applyFont="1" applyBorder="1" applyAlignment="1">
      <alignment horizontal="center" vertical="center"/>
    </xf>
    <xf numFmtId="0" fontId="20" fillId="0" borderId="23" xfId="0" applyFont="1" applyBorder="1" applyAlignment="1">
      <alignment horizontal="center" vertical="center"/>
    </xf>
    <xf numFmtId="0" fontId="27" fillId="0" borderId="10" xfId="0" applyFont="1" applyBorder="1" applyAlignment="1">
      <alignment horizontal="center" vertical="center"/>
    </xf>
    <xf numFmtId="0" fontId="57" fillId="0" borderId="0" xfId="0" applyFont="1" applyBorder="1" applyAlignment="1">
      <alignment horizontal="right"/>
    </xf>
    <xf numFmtId="0" fontId="23" fillId="0" borderId="11" xfId="0" applyFont="1" applyBorder="1" applyAlignment="1">
      <alignment horizontal="center" vertical="center"/>
    </xf>
    <xf numFmtId="0" fontId="50" fillId="0" borderId="12" xfId="0" applyFont="1" applyBorder="1" applyAlignment="1">
      <alignment horizontal="right" wrapText="1"/>
    </xf>
    <xf numFmtId="0" fontId="50" fillId="0" borderId="0" xfId="0" applyFont="1" applyBorder="1" applyAlignment="1">
      <alignment horizontal="right" wrapText="1"/>
    </xf>
    <xf numFmtId="0" fontId="57" fillId="0" borderId="12" xfId="0" applyFont="1" applyBorder="1" applyAlignment="1" applyProtection="1">
      <alignment horizontal="right"/>
      <protection locked="0"/>
    </xf>
    <xf numFmtId="0" fontId="20" fillId="0" borderId="17" xfId="0" applyFont="1" applyBorder="1" applyAlignment="1">
      <alignment horizontal="center" vertical="center"/>
    </xf>
    <xf numFmtId="0" fontId="20" fillId="0" borderId="14" xfId="0" applyFont="1" applyBorder="1" applyAlignment="1">
      <alignment horizontal="center" vertical="center"/>
    </xf>
    <xf numFmtId="0" fontId="20" fillId="0" borderId="16" xfId="0" applyFont="1" applyBorder="1" applyAlignment="1">
      <alignment horizontal="center" vertical="center"/>
    </xf>
    <xf numFmtId="0" fontId="20" fillId="0" borderId="15" xfId="0" applyFont="1"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13" fillId="0" borderId="0" xfId="0" applyFont="1" applyBorder="1" applyAlignment="1">
      <alignment horizontal="right" vertical="center"/>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15" fillId="0" borderId="0" xfId="0" applyFont="1" applyAlignment="1">
      <alignment horizontal="center"/>
    </xf>
    <xf numFmtId="0" fontId="153" fillId="0" borderId="0" xfId="0" applyFont="1" applyAlignment="1">
      <alignment horizontal="center"/>
    </xf>
    <xf numFmtId="0" fontId="27" fillId="0" borderId="15" xfId="0" applyFont="1" applyBorder="1" applyAlignment="1">
      <alignment horizontal="center" vertical="center"/>
    </xf>
    <xf numFmtId="0" fontId="57" fillId="0" borderId="12" xfId="0" applyFont="1" applyBorder="1" applyAlignment="1">
      <alignment horizontal="left" vertical="top" wrapText="1"/>
    </xf>
    <xf numFmtId="0" fontId="57" fillId="0" borderId="0" xfId="0" applyFont="1" applyBorder="1" applyAlignment="1">
      <alignment horizontal="left" vertical="top" wrapText="1"/>
    </xf>
    <xf numFmtId="0" fontId="0" fillId="0" borderId="21" xfId="0" applyBorder="1" applyAlignment="1">
      <alignment horizontal="center" vertical="center"/>
    </xf>
    <xf numFmtId="0" fontId="57" fillId="0" borderId="12" xfId="0" applyFont="1" applyBorder="1" applyAlignment="1" applyProtection="1">
      <alignment horizontal="center" vertical="center" wrapText="1"/>
      <protection locked="0"/>
    </xf>
    <xf numFmtId="0" fontId="23" fillId="0" borderId="24" xfId="0" quotePrefix="1" applyFont="1" applyBorder="1" applyAlignment="1">
      <alignment horizontal="center" vertical="center" wrapText="1"/>
    </xf>
    <xf numFmtId="0" fontId="23" fillId="0" borderId="13" xfId="0" applyFont="1" applyBorder="1" applyAlignment="1">
      <alignment horizontal="center" vertical="center" wrapText="1"/>
    </xf>
    <xf numFmtId="2" fontId="1" fillId="0" borderId="10" xfId="0" applyNumberFormat="1" applyFont="1" applyFill="1" applyBorder="1" applyAlignment="1">
      <alignment horizontal="center" vertical="center"/>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5" xfId="0" applyFont="1" applyFill="1" applyBorder="1" applyAlignment="1">
      <alignment horizontal="center" vertical="center"/>
    </xf>
    <xf numFmtId="1" fontId="1" fillId="0" borderId="10" xfId="0" applyNumberFormat="1" applyFont="1" applyBorder="1" applyAlignment="1">
      <alignment horizontal="center" vertical="center"/>
    </xf>
    <xf numFmtId="1" fontId="1" fillId="0" borderId="15" xfId="0" applyNumberFormat="1" applyFont="1" applyBorder="1" applyAlignment="1">
      <alignment horizontal="center" vertical="center"/>
    </xf>
    <xf numFmtId="0" fontId="18" fillId="0" borderId="12" xfId="0" applyFont="1" applyBorder="1" applyAlignment="1">
      <alignment horizontal="center" vertical="top"/>
    </xf>
    <xf numFmtId="0" fontId="18" fillId="0" borderId="23" xfId="0" applyFont="1" applyBorder="1" applyAlignment="1">
      <alignment horizontal="center" vertical="top"/>
    </xf>
    <xf numFmtId="0" fontId="18" fillId="0" borderId="12" xfId="0" applyFont="1" applyBorder="1" applyAlignment="1">
      <alignment horizontal="center" vertical="top" wrapText="1"/>
    </xf>
    <xf numFmtId="0" fontId="18" fillId="0" borderId="0" xfId="0" applyFont="1" applyBorder="1" applyAlignment="1">
      <alignment horizontal="center" vertical="top" wrapText="1"/>
    </xf>
    <xf numFmtId="0" fontId="18" fillId="0" borderId="14" xfId="0" applyFont="1" applyBorder="1" applyAlignment="1">
      <alignment horizontal="center" vertical="top" wrapText="1"/>
    </xf>
    <xf numFmtId="0" fontId="31" fillId="0" borderId="22"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4" xfId="0" applyFont="1" applyBorder="1" applyAlignment="1">
      <alignment horizontal="center" vertical="center" wrapText="1"/>
    </xf>
    <xf numFmtId="0" fontId="1" fillId="0" borderId="17" xfId="0" applyFont="1" applyFill="1" applyBorder="1" applyAlignment="1">
      <alignment horizontal="center" vertical="center"/>
    </xf>
    <xf numFmtId="0" fontId="1" fillId="0" borderId="14" xfId="0" applyFont="1" applyFill="1" applyBorder="1" applyAlignment="1">
      <alignment horizontal="center" vertical="center"/>
    </xf>
    <xf numFmtId="2" fontId="1" fillId="0" borderId="17" xfId="0"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2" fontId="1" fillId="0" borderId="14" xfId="0" applyNumberFormat="1" applyFont="1" applyFill="1" applyBorder="1" applyAlignment="1">
      <alignment horizontal="center" vertical="center"/>
    </xf>
    <xf numFmtId="1" fontId="1" fillId="0" borderId="17" xfId="0" applyNumberFormat="1" applyFont="1" applyBorder="1" applyAlignment="1">
      <alignment horizontal="center" vertical="center"/>
    </xf>
    <xf numFmtId="1" fontId="1" fillId="0" borderId="14" xfId="0" applyNumberFormat="1" applyFont="1" applyBorder="1" applyAlignment="1">
      <alignment horizontal="center" vertical="center"/>
    </xf>
    <xf numFmtId="0" fontId="1" fillId="0" borderId="0" xfId="0" applyFont="1" applyFill="1" applyBorder="1" applyAlignment="1">
      <alignment horizontal="center" vertical="center"/>
    </xf>
    <xf numFmtId="1" fontId="1" fillId="0" borderId="0" xfId="0" applyNumberFormat="1" applyFont="1" applyBorder="1" applyAlignment="1">
      <alignment horizontal="center" vertical="center"/>
    </xf>
    <xf numFmtId="0" fontId="93" fillId="0" borderId="0" xfId="0" applyFont="1" applyAlignment="1">
      <alignment horizontal="center" vertical="center" wrapText="1"/>
    </xf>
    <xf numFmtId="0" fontId="15" fillId="0" borderId="24" xfId="0" applyFont="1" applyBorder="1" applyAlignment="1">
      <alignment horizontal="center" vertical="center" wrapText="1"/>
    </xf>
    <xf numFmtId="0" fontId="15" fillId="0" borderId="17" xfId="0" applyFont="1" applyBorder="1" applyAlignment="1">
      <alignment horizontal="center" vertical="center" wrapText="1"/>
    </xf>
    <xf numFmtId="0" fontId="55" fillId="0" borderId="0" xfId="0" applyFont="1" applyBorder="1" applyAlignment="1">
      <alignment horizontal="left" vertical="top" wrapText="1"/>
    </xf>
    <xf numFmtId="0" fontId="15" fillId="0" borderId="19" xfId="0" applyFont="1" applyBorder="1" applyAlignment="1">
      <alignment horizontal="center" vertical="center"/>
    </xf>
    <xf numFmtId="0" fontId="15" fillId="0" borderId="19"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4" xfId="0" applyFont="1" applyBorder="1" applyAlignment="1">
      <alignment horizontal="center" vertical="center" wrapText="1"/>
    </xf>
    <xf numFmtId="0" fontId="15" fillId="0" borderId="0" xfId="0" applyFont="1" applyBorder="1" applyAlignment="1">
      <alignment horizontal="left" vertical="top" wrapText="1"/>
    </xf>
    <xf numFmtId="0" fontId="0" fillId="0" borderId="0" xfId="0" applyBorder="1" applyAlignment="1">
      <alignment wrapText="1"/>
    </xf>
    <xf numFmtId="0" fontId="15" fillId="0" borderId="0" xfId="0" applyFont="1" applyAlignment="1">
      <alignment horizontal="left" vertical="top" wrapText="1"/>
    </xf>
    <xf numFmtId="0" fontId="0" fillId="0" borderId="0" xfId="0" applyAlignment="1">
      <alignment horizontal="left" vertical="top" wrapText="1"/>
    </xf>
    <xf numFmtId="0" fontId="20" fillId="0" borderId="0" xfId="0" applyFont="1" applyBorder="1" applyAlignment="1">
      <alignment horizontal="left" vertical="top" wrapText="1"/>
    </xf>
    <xf numFmtId="0" fontId="4" fillId="0" borderId="0" xfId="0" applyFont="1" applyBorder="1" applyAlignment="1">
      <alignment wrapText="1"/>
    </xf>
    <xf numFmtId="0" fontId="4" fillId="0" borderId="0" xfId="0" applyFont="1" applyAlignment="1">
      <alignment horizontal="left" vertical="top" wrapText="1"/>
    </xf>
    <xf numFmtId="0" fontId="4" fillId="0" borderId="0" xfId="0" applyFont="1" applyAlignment="1">
      <alignment wrapText="1"/>
    </xf>
    <xf numFmtId="0" fontId="21" fillId="0" borderId="17" xfId="0" applyFont="1" applyBorder="1" applyAlignment="1">
      <alignment horizontal="center" vertical="center" shrinkToFit="1"/>
    </xf>
    <xf numFmtId="0" fontId="21" fillId="0" borderId="0" xfId="0" applyFont="1" applyBorder="1" applyAlignment="1">
      <alignment horizontal="center" vertical="center" shrinkToFit="1"/>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5" xfId="0" applyFont="1" applyBorder="1" applyAlignment="1">
      <alignment horizontal="center" vertical="center"/>
    </xf>
    <xf numFmtId="0" fontId="1" fillId="0" borderId="12" xfId="0" applyFont="1" applyBorder="1" applyAlignment="1">
      <alignment horizontal="center" vertical="center"/>
    </xf>
    <xf numFmtId="0" fontId="1" fillId="0" borderId="23"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21" fillId="0" borderId="12" xfId="0" applyFont="1" applyBorder="1" applyAlignment="1">
      <alignment horizontal="center" vertical="center"/>
    </xf>
    <xf numFmtId="0" fontId="1" fillId="0" borderId="24" xfId="0" applyFont="1" applyBorder="1" applyAlignment="1">
      <alignment horizontal="center" vertical="center"/>
    </xf>
    <xf numFmtId="0" fontId="98" fillId="0" borderId="0" xfId="0" applyFont="1" applyAlignment="1">
      <alignment horizontal="left" vertical="center" wrapText="1"/>
    </xf>
    <xf numFmtId="0" fontId="97" fillId="0" borderId="0" xfId="0" applyFont="1" applyAlignment="1">
      <alignment vertical="center" wrapText="1"/>
    </xf>
    <xf numFmtId="0" fontId="98" fillId="0" borderId="12" xfId="0" applyFont="1" applyBorder="1" applyAlignment="1">
      <alignment vertical="center" wrapText="1"/>
    </xf>
    <xf numFmtId="0" fontId="97" fillId="0" borderId="12" xfId="0" applyFont="1" applyBorder="1" applyAlignment="1">
      <alignment vertical="center" wrapText="1"/>
    </xf>
    <xf numFmtId="0" fontId="57" fillId="0" borderId="0" xfId="0" applyFont="1" applyAlignment="1">
      <alignment horizontal="left" vertical="top" wrapText="1"/>
    </xf>
    <xf numFmtId="0" fontId="98" fillId="0" borderId="0" xfId="0" applyFont="1" applyAlignment="1">
      <alignment horizontal="left" wrapText="1"/>
    </xf>
    <xf numFmtId="0" fontId="0" fillId="0" borderId="17" xfId="0" applyBorder="1" applyAlignment="1">
      <alignment horizontal="left" vertical="center" wrapText="1"/>
    </xf>
    <xf numFmtId="0" fontId="0" fillId="0" borderId="0" xfId="0" applyBorder="1" applyAlignment="1">
      <alignment horizontal="left" vertical="center" wrapText="1"/>
    </xf>
    <xf numFmtId="0" fontId="13" fillId="0" borderId="0" xfId="0" applyFont="1" applyBorder="1" applyAlignment="1">
      <alignment horizontal="right" vertical="top"/>
    </xf>
    <xf numFmtId="0" fontId="22" fillId="0" borderId="13" xfId="0" applyFont="1" applyBorder="1" applyAlignment="1">
      <alignment horizontal="center" vertical="center"/>
    </xf>
    <xf numFmtId="0" fontId="96" fillId="0" borderId="0" xfId="0" applyFont="1" applyBorder="1" applyAlignment="1">
      <alignment horizontal="left" vertical="top" wrapText="1"/>
    </xf>
    <xf numFmtId="0" fontId="9" fillId="0" borderId="0" xfId="0" applyFont="1" applyBorder="1" applyAlignment="1">
      <alignment horizontal="left" vertical="top" wrapText="1"/>
    </xf>
    <xf numFmtId="0" fontId="19" fillId="0" borderId="0" xfId="0" applyFont="1" applyBorder="1" applyAlignment="1">
      <alignment horizontal="center" vertical="center"/>
    </xf>
    <xf numFmtId="0" fontId="81" fillId="0" borderId="0" xfId="0" applyFont="1" applyAlignment="1">
      <alignment horizontal="center" vertical="top" wrapText="1"/>
    </xf>
    <xf numFmtId="0" fontId="22" fillId="0" borderId="18" xfId="0" quotePrefix="1" applyFont="1" applyBorder="1" applyAlignment="1">
      <alignment horizontal="center" vertical="center"/>
    </xf>
    <xf numFmtId="0" fontId="22" fillId="0" borderId="13" xfId="0" quotePrefix="1" applyFont="1" applyBorder="1" applyAlignment="1">
      <alignment horizontal="center" vertical="center"/>
    </xf>
    <xf numFmtId="0" fontId="0" fillId="0" borderId="17" xfId="0" applyBorder="1" applyAlignment="1">
      <alignment horizontal="center"/>
    </xf>
    <xf numFmtId="0" fontId="0" fillId="0" borderId="14" xfId="0" applyBorder="1" applyAlignment="1">
      <alignment horizontal="center"/>
    </xf>
    <xf numFmtId="0" fontId="18" fillId="0" borderId="18" xfId="0" quotePrefix="1" applyFont="1" applyBorder="1" applyAlignment="1">
      <alignment horizontal="center" vertical="center"/>
    </xf>
    <xf numFmtId="0" fontId="18" fillId="0" borderId="11" xfId="0" quotePrefix="1" applyFont="1" applyBorder="1" applyAlignment="1">
      <alignment horizontal="center" vertical="center"/>
    </xf>
    <xf numFmtId="0" fontId="4" fillId="0" borderId="17" xfId="0" applyFont="1" applyBorder="1" applyAlignment="1">
      <alignment horizontal="center" vertical="center"/>
    </xf>
    <xf numFmtId="0" fontId="4" fillId="0" borderId="0" xfId="0" applyFont="1" applyBorder="1" applyAlignment="1">
      <alignment horizontal="center" vertical="center"/>
    </xf>
    <xf numFmtId="0" fontId="66" fillId="0" borderId="0" xfId="0" applyFont="1" applyAlignment="1">
      <alignment vertical="top" wrapTex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19" fillId="0" borderId="0" xfId="0" applyFont="1" applyBorder="1" applyAlignment="1">
      <alignment horizontal="center"/>
    </xf>
    <xf numFmtId="0" fontId="0" fillId="0" borderId="10" xfId="0" applyBorder="1" applyAlignment="1">
      <alignment horizontal="center" vertical="center"/>
    </xf>
    <xf numFmtId="0" fontId="22" fillId="0" borderId="18" xfId="0" quotePrefix="1" applyFont="1" applyBorder="1" applyAlignment="1">
      <alignment horizontal="center" vertical="center" wrapText="1"/>
    </xf>
    <xf numFmtId="0" fontId="22" fillId="0" borderId="13" xfId="0" quotePrefix="1" applyFont="1" applyBorder="1" applyAlignment="1">
      <alignment horizontal="center" vertical="center" wrapText="1"/>
    </xf>
    <xf numFmtId="0" fontId="22" fillId="0" borderId="11" xfId="0" quotePrefix="1" applyFont="1" applyBorder="1" applyAlignment="1">
      <alignment horizontal="center" vertical="center" wrapText="1"/>
    </xf>
    <xf numFmtId="0" fontId="20" fillId="0" borderId="0" xfId="0" applyFont="1" applyAlignment="1">
      <alignment horizontal="center"/>
    </xf>
    <xf numFmtId="0" fontId="20" fillId="0" borderId="13" xfId="0" applyFont="1" applyBorder="1" applyAlignment="1">
      <alignment horizontal="center"/>
    </xf>
    <xf numFmtId="0" fontId="81" fillId="0" borderId="0" xfId="0" applyFont="1" applyAlignment="1">
      <alignment horizontal="center"/>
    </xf>
    <xf numFmtId="0" fontId="20" fillId="0" borderId="20" xfId="0" applyFont="1" applyBorder="1" applyAlignment="1">
      <alignment horizontal="center" vertical="center" wrapText="1"/>
    </xf>
    <xf numFmtId="2" fontId="0" fillId="0" borderId="17" xfId="0" applyNumberFormat="1" applyBorder="1" applyAlignment="1">
      <alignment horizontal="center" vertical="center"/>
    </xf>
    <xf numFmtId="2" fontId="0" fillId="0" borderId="0" xfId="0" applyNumberFormat="1" applyBorder="1" applyAlignment="1">
      <alignment horizontal="center" vertical="center"/>
    </xf>
    <xf numFmtId="0" fontId="0" fillId="0" borderId="0" xfId="0" applyBorder="1" applyAlignment="1">
      <alignment horizontal="center" vertical="center"/>
    </xf>
    <xf numFmtId="2" fontId="0" fillId="0" borderId="17" xfId="0" applyNumberFormat="1" applyFill="1" applyBorder="1" applyAlignment="1">
      <alignment horizontal="center" vertical="center"/>
    </xf>
    <xf numFmtId="2" fontId="0" fillId="0" borderId="14" xfId="0" applyNumberFormat="1" applyFill="1" applyBorder="1" applyAlignment="1">
      <alignment horizontal="center" vertical="center"/>
    </xf>
    <xf numFmtId="0" fontId="0" fillId="0" borderId="17" xfId="0" applyFill="1" applyBorder="1" applyAlignment="1">
      <alignment horizontal="center" vertical="center"/>
    </xf>
    <xf numFmtId="0" fontId="0" fillId="0" borderId="14" xfId="0" applyFill="1" applyBorder="1" applyAlignment="1">
      <alignment horizontal="center" vertical="center"/>
    </xf>
    <xf numFmtId="0" fontId="0" fillId="0" borderId="0" xfId="0" applyFill="1" applyBorder="1" applyAlignment="1">
      <alignment horizontal="center" vertical="center"/>
    </xf>
    <xf numFmtId="2" fontId="0" fillId="0" borderId="14" xfId="0" applyNumberFormat="1" applyBorder="1" applyAlignment="1">
      <alignment horizontal="center" vertical="center"/>
    </xf>
    <xf numFmtId="0" fontId="81" fillId="0" borderId="10" xfId="0" applyFont="1" applyBorder="1" applyAlignment="1">
      <alignment horizontal="center" wrapText="1"/>
    </xf>
    <xf numFmtId="0" fontId="20" fillId="0" borderId="12"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5" xfId="0" applyFont="1" applyBorder="1" applyAlignment="1">
      <alignment horizontal="center" vertical="center" wrapText="1"/>
    </xf>
    <xf numFmtId="0" fontId="57" fillId="0" borderId="12" xfId="0" applyFont="1" applyBorder="1" applyAlignment="1">
      <alignment horizontal="right"/>
    </xf>
    <xf numFmtId="0" fontId="154" fillId="0" borderId="12" xfId="0" applyFont="1" applyBorder="1" applyAlignment="1">
      <alignment vertical="top" wrapText="1"/>
    </xf>
    <xf numFmtId="0" fontId="154" fillId="0" borderId="12" xfId="0" applyFont="1" applyBorder="1" applyAlignment="1">
      <alignment wrapText="1"/>
    </xf>
    <xf numFmtId="0" fontId="154" fillId="0" borderId="0" xfId="0" applyFont="1" applyAlignment="1">
      <alignment wrapText="1"/>
    </xf>
    <xf numFmtId="0" fontId="50" fillId="0" borderId="18" xfId="0" applyFont="1" applyBorder="1" applyAlignment="1">
      <alignment horizontal="center" vertical="center"/>
    </xf>
    <xf numFmtId="0" fontId="50" fillId="0" borderId="13" xfId="0" applyFont="1" applyBorder="1" applyAlignment="1">
      <alignment horizontal="center" vertical="center"/>
    </xf>
    <xf numFmtId="0" fontId="38" fillId="0" borderId="22" xfId="0" applyFont="1" applyBorder="1" applyAlignment="1">
      <alignment horizontal="center" vertical="center" wrapText="1"/>
    </xf>
    <xf numFmtId="0" fontId="38" fillId="0" borderId="21" xfId="0" applyFont="1" applyBorder="1" applyAlignment="1">
      <alignment horizontal="center" vertical="center" wrapText="1"/>
    </xf>
    <xf numFmtId="0" fontId="57" fillId="0" borderId="12" xfId="0" applyFont="1" applyBorder="1" applyAlignment="1">
      <alignment horizontal="left" wrapText="1"/>
    </xf>
    <xf numFmtId="0" fontId="57" fillId="0" borderId="12" xfId="0" applyFont="1" applyBorder="1" applyAlignment="1">
      <alignment horizontal="left"/>
    </xf>
    <xf numFmtId="0" fontId="57" fillId="0" borderId="0" xfId="0" applyFont="1" applyAlignment="1">
      <alignment horizontal="left"/>
    </xf>
    <xf numFmtId="164" fontId="4" fillId="0" borderId="17" xfId="0" applyNumberFormat="1" applyFont="1" applyBorder="1" applyAlignment="1" applyProtection="1">
      <alignment horizontal="center" vertical="center"/>
      <protection locked="0"/>
    </xf>
    <xf numFmtId="164" fontId="4" fillId="0" borderId="14" xfId="0" applyNumberFormat="1" applyFont="1" applyBorder="1" applyAlignment="1" applyProtection="1">
      <alignment horizontal="center" vertical="center"/>
      <protection locked="0"/>
    </xf>
    <xf numFmtId="164" fontId="0" fillId="0" borderId="17" xfId="0" applyNumberFormat="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0" fontId="66" fillId="0" borderId="18" xfId="0" quotePrefix="1" applyFont="1" applyBorder="1" applyAlignment="1">
      <alignment horizontal="center" vertical="center"/>
    </xf>
    <xf numFmtId="0" fontId="66" fillId="0" borderId="13" xfId="0" quotePrefix="1" applyFont="1" applyBorder="1" applyAlignment="1">
      <alignment horizontal="center" vertical="center"/>
    </xf>
    <xf numFmtId="164" fontId="4" fillId="0" borderId="24" xfId="0" applyNumberFormat="1" applyFont="1" applyBorder="1" applyAlignment="1" applyProtection="1">
      <alignment horizontal="center" vertical="center"/>
      <protection locked="0"/>
    </xf>
    <xf numFmtId="164" fontId="4" fillId="0" borderId="23" xfId="0" applyNumberFormat="1" applyFont="1" applyBorder="1" applyAlignment="1" applyProtection="1">
      <alignment horizontal="center" vertical="center"/>
      <protection locked="0"/>
    </xf>
    <xf numFmtId="164" fontId="4" fillId="0" borderId="16" xfId="0" applyNumberFormat="1" applyFont="1" applyBorder="1" applyAlignment="1" applyProtection="1">
      <alignment horizontal="center" vertical="center"/>
      <protection locked="0"/>
    </xf>
    <xf numFmtId="164" fontId="4" fillId="0" borderId="15" xfId="0" applyNumberFormat="1" applyFont="1" applyBorder="1" applyAlignment="1" applyProtection="1">
      <alignment horizontal="center" vertical="center"/>
      <protection locked="0"/>
    </xf>
    <xf numFmtId="0" fontId="126" fillId="0" borderId="0" xfId="0" applyFont="1" applyAlignment="1">
      <alignment horizontal="center" vertical="center" wrapText="1"/>
    </xf>
    <xf numFmtId="0" fontId="66" fillId="0" borderId="24" xfId="0" applyFont="1" applyBorder="1" applyAlignment="1">
      <alignment horizontal="center" vertical="center"/>
    </xf>
    <xf numFmtId="0" fontId="66" fillId="0" borderId="23" xfId="0" applyFont="1" applyBorder="1" applyAlignment="1">
      <alignment horizontal="center" vertical="center"/>
    </xf>
    <xf numFmtId="164" fontId="0" fillId="0" borderId="24" xfId="0" applyNumberFormat="1" applyBorder="1" applyAlignment="1" applyProtection="1">
      <alignment horizontal="center" vertical="center"/>
      <protection locked="0"/>
    </xf>
    <xf numFmtId="164" fontId="0" fillId="0" borderId="23" xfId="0" applyNumberFormat="1" applyBorder="1" applyAlignment="1" applyProtection="1">
      <alignment horizontal="center" vertical="center"/>
      <protection locked="0"/>
    </xf>
    <xf numFmtId="0" fontId="4" fillId="0" borderId="10" xfId="0" applyFont="1" applyBorder="1" applyAlignment="1">
      <alignment horizontal="center" vertical="center"/>
    </xf>
    <xf numFmtId="1" fontId="155" fillId="0" borderId="16" xfId="0" applyNumberFormat="1" applyFont="1" applyBorder="1" applyAlignment="1">
      <alignment horizontal="center" vertical="center"/>
    </xf>
    <xf numFmtId="1" fontId="155" fillId="0" borderId="15" xfId="0" applyNumberFormat="1" applyFont="1" applyBorder="1" applyAlignment="1">
      <alignment horizontal="center" vertical="center"/>
    </xf>
    <xf numFmtId="1" fontId="4" fillId="0" borderId="17" xfId="0" applyNumberFormat="1" applyFont="1" applyBorder="1" applyAlignment="1" applyProtection="1">
      <alignment horizontal="center" vertical="center"/>
      <protection locked="0"/>
    </xf>
    <xf numFmtId="1" fontId="4" fillId="0" borderId="14" xfId="0" applyNumberFormat="1" applyFont="1" applyBorder="1" applyAlignment="1" applyProtection="1">
      <alignment horizontal="center" vertical="center"/>
      <protection locked="0"/>
    </xf>
    <xf numFmtId="1" fontId="4" fillId="0" borderId="24" xfId="0" applyNumberFormat="1" applyFont="1" applyBorder="1" applyAlignment="1" applyProtection="1">
      <alignment horizontal="center" vertical="center"/>
      <protection locked="0"/>
    </xf>
    <xf numFmtId="1" fontId="4" fillId="0" borderId="23" xfId="0" applyNumberFormat="1" applyFont="1" applyBorder="1" applyAlignment="1" applyProtection="1">
      <alignment horizontal="center" vertical="center"/>
      <protection locked="0"/>
    </xf>
    <xf numFmtId="1" fontId="20" fillId="0" borderId="17" xfId="0" applyNumberFormat="1" applyFont="1" applyBorder="1" applyAlignment="1">
      <alignment horizontal="center" vertical="center"/>
    </xf>
    <xf numFmtId="1" fontId="20" fillId="0" borderId="14" xfId="0" applyNumberFormat="1" applyFont="1" applyBorder="1" applyAlignment="1">
      <alignment horizontal="center" vertical="center"/>
    </xf>
    <xf numFmtId="1" fontId="20" fillId="0" borderId="24" xfId="0" applyNumberFormat="1" applyFont="1" applyBorder="1" applyAlignment="1">
      <alignment horizontal="center" vertical="center"/>
    </xf>
    <xf numFmtId="1" fontId="20" fillId="0" borderId="23" xfId="0" applyNumberFormat="1" applyFont="1" applyBorder="1" applyAlignment="1">
      <alignment horizontal="center" vertical="center"/>
    </xf>
    <xf numFmtId="2" fontId="20" fillId="0" borderId="17" xfId="0" applyNumberFormat="1" applyFont="1" applyBorder="1" applyAlignment="1">
      <alignment horizontal="center" vertical="center"/>
    </xf>
    <xf numFmtId="2" fontId="20" fillId="0" borderId="14" xfId="0" applyNumberFormat="1" applyFont="1" applyBorder="1" applyAlignment="1">
      <alignment horizontal="center" vertical="center"/>
    </xf>
    <xf numFmtId="0" fontId="13" fillId="0" borderId="0" xfId="0" applyFont="1" applyBorder="1" applyAlignment="1">
      <alignment horizontal="right" vertical="top" wrapText="1"/>
    </xf>
    <xf numFmtId="0" fontId="23" fillId="0" borderId="18" xfId="0" quotePrefix="1" applyFont="1" applyFill="1" applyBorder="1" applyAlignment="1">
      <alignment horizontal="center" vertical="center"/>
    </xf>
    <xf numFmtId="0" fontId="23" fillId="0" borderId="13" xfId="0" quotePrefix="1" applyFont="1" applyFill="1" applyBorder="1" applyAlignment="1">
      <alignment horizontal="center" vertical="center"/>
    </xf>
    <xf numFmtId="0" fontId="18" fillId="0" borderId="18" xfId="0" applyFont="1" applyBorder="1" applyAlignment="1">
      <alignment horizontal="center" vertical="top" wrapText="1"/>
    </xf>
    <xf numFmtId="0" fontId="18" fillId="0" borderId="11" xfId="0" applyFont="1" applyBorder="1" applyAlignment="1">
      <alignment horizontal="center" vertical="top" wrapText="1"/>
    </xf>
    <xf numFmtId="1" fontId="1" fillId="0" borderId="10" xfId="0" applyNumberFormat="1" applyFont="1" applyBorder="1" applyAlignment="1" applyProtection="1">
      <alignment horizontal="center" vertical="center"/>
      <protection locked="0"/>
    </xf>
    <xf numFmtId="0" fontId="67" fillId="0" borderId="0" xfId="0" applyFont="1" applyAlignment="1">
      <alignment horizontal="center" vertical="top" wrapText="1"/>
    </xf>
    <xf numFmtId="1" fontId="15" fillId="0" borderId="17" xfId="0" applyNumberFormat="1" applyFont="1" applyBorder="1" applyAlignment="1" applyProtection="1">
      <alignment horizontal="center" vertical="center"/>
      <protection locked="0"/>
    </xf>
    <xf numFmtId="1" fontId="15" fillId="0" borderId="14" xfId="0" applyNumberFormat="1" applyFont="1" applyBorder="1" applyAlignment="1" applyProtection="1">
      <alignment horizontal="center" vertical="center"/>
      <protection locked="0"/>
    </xf>
    <xf numFmtId="1" fontId="1" fillId="0" borderId="16" xfId="0" applyNumberFormat="1" applyFont="1" applyBorder="1" applyAlignment="1" applyProtection="1">
      <alignment horizontal="center" vertical="center"/>
      <protection locked="0"/>
    </xf>
    <xf numFmtId="1" fontId="1" fillId="0" borderId="15" xfId="0" applyNumberFormat="1" applyFont="1" applyBorder="1" applyAlignment="1" applyProtection="1">
      <alignment horizontal="center" vertical="center"/>
      <protection locked="0"/>
    </xf>
    <xf numFmtId="1" fontId="1" fillId="0" borderId="0" xfId="0" applyNumberFormat="1" applyFont="1" applyBorder="1" applyAlignment="1" applyProtection="1">
      <alignment horizontal="center" vertical="center"/>
      <protection locked="0"/>
    </xf>
    <xf numFmtId="1" fontId="21" fillId="0" borderId="17" xfId="0" applyNumberFormat="1" applyFont="1" applyBorder="1" applyAlignment="1" applyProtection="1">
      <alignment horizontal="center" vertical="center"/>
      <protection locked="0"/>
    </xf>
    <xf numFmtId="1" fontId="21" fillId="0" borderId="14" xfId="0" applyNumberFormat="1" applyFont="1" applyBorder="1" applyAlignment="1" applyProtection="1">
      <alignment horizontal="center" vertical="center"/>
      <protection locked="0"/>
    </xf>
    <xf numFmtId="1" fontId="21" fillId="0" borderId="0" xfId="0" applyNumberFormat="1" applyFont="1" applyBorder="1" applyAlignment="1" applyProtection="1">
      <alignment horizontal="center" vertical="center"/>
      <protection locked="0"/>
    </xf>
    <xf numFmtId="1" fontId="1" fillId="0" borderId="17" xfId="0" applyNumberFormat="1" applyFont="1" applyBorder="1" applyAlignment="1" applyProtection="1">
      <alignment horizontal="center" vertical="center"/>
      <protection locked="0"/>
    </xf>
    <xf numFmtId="1" fontId="1" fillId="0" borderId="14" xfId="0" applyNumberFormat="1" applyFont="1" applyBorder="1" applyAlignment="1" applyProtection="1">
      <alignment horizontal="center" vertical="center"/>
      <protection locked="0"/>
    </xf>
    <xf numFmtId="0" fontId="67" fillId="0" borderId="0" xfId="0" applyFont="1" applyAlignment="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2" fontId="0" fillId="0" borderId="15" xfId="0" applyNumberFormat="1" applyBorder="1" applyAlignment="1">
      <alignment horizontal="center" vertical="center"/>
    </xf>
    <xf numFmtId="0" fontId="67" fillId="0" borderId="0" xfId="0" applyFont="1" applyAlignment="1">
      <alignment horizontal="center" wrapText="1"/>
    </xf>
    <xf numFmtId="2" fontId="4" fillId="0" borderId="17" xfId="0" applyNumberFormat="1" applyFont="1" applyBorder="1" applyAlignment="1" applyProtection="1">
      <alignment horizontal="center" vertical="center"/>
      <protection locked="0"/>
    </xf>
    <xf numFmtId="2" fontId="4" fillId="0" borderId="0" xfId="0" applyNumberFormat="1" applyFont="1" applyBorder="1" applyAlignment="1" applyProtection="1">
      <alignment horizontal="center" vertical="center"/>
      <protection locked="0"/>
    </xf>
    <xf numFmtId="2" fontId="4" fillId="0" borderId="14" xfId="0" applyNumberFormat="1" applyFont="1" applyBorder="1" applyAlignment="1" applyProtection="1">
      <alignment horizontal="center" vertical="center"/>
      <protection locked="0"/>
    </xf>
    <xf numFmtId="2" fontId="0" fillId="0" borderId="24" xfId="0" applyNumberFormat="1" applyBorder="1" applyAlignment="1">
      <alignment horizontal="center" vertical="center"/>
    </xf>
    <xf numFmtId="2" fontId="0" fillId="0" borderId="12" xfId="0" applyNumberFormat="1" applyBorder="1" applyAlignment="1">
      <alignment horizontal="center" vertical="center"/>
    </xf>
    <xf numFmtId="2" fontId="0" fillId="0" borderId="23" xfId="0" applyNumberFormat="1" applyBorder="1" applyAlignment="1">
      <alignment horizontal="center" vertical="center"/>
    </xf>
    <xf numFmtId="2" fontId="4" fillId="0" borderId="24" xfId="0" applyNumberFormat="1" applyFont="1" applyBorder="1" applyAlignment="1" applyProtection="1">
      <alignment horizontal="center" vertical="center"/>
      <protection locked="0"/>
    </xf>
    <xf numFmtId="2" fontId="4" fillId="0" borderId="12" xfId="0" applyNumberFormat="1" applyFont="1" applyBorder="1" applyAlignment="1" applyProtection="1">
      <alignment horizontal="center" vertical="center"/>
      <protection locked="0"/>
    </xf>
    <xf numFmtId="2" fontId="4" fillId="0" borderId="23" xfId="0" applyNumberFormat="1" applyFont="1" applyBorder="1" applyAlignment="1" applyProtection="1">
      <alignment horizontal="center" vertical="center"/>
      <protection locked="0"/>
    </xf>
    <xf numFmtId="2" fontId="0" fillId="0" borderId="0" xfId="0" applyNumberFormat="1" applyBorder="1" applyAlignment="1" applyProtection="1">
      <alignment horizontal="center" vertical="center"/>
      <protection locked="0"/>
    </xf>
    <xf numFmtId="2" fontId="0" fillId="0" borderId="10" xfId="0" applyNumberFormat="1" applyBorder="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2" fontId="0" fillId="0" borderId="17" xfId="0" applyNumberFormat="1" applyBorder="1" applyAlignment="1" applyProtection="1">
      <alignment horizontal="center" vertical="center"/>
      <protection locked="0"/>
    </xf>
    <xf numFmtId="2" fontId="0" fillId="0" borderId="14" xfId="0" applyNumberFormat="1" applyBorder="1" applyAlignment="1" applyProtection="1">
      <alignment horizontal="center" vertical="center"/>
      <protection locked="0"/>
    </xf>
    <xf numFmtId="0" fontId="67" fillId="0" borderId="0" xfId="0" applyFont="1" applyAlignment="1">
      <alignment horizontal="center" vertical="top"/>
    </xf>
    <xf numFmtId="0" fontId="21" fillId="0" borderId="16" xfId="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2" fontId="0" fillId="0" borderId="24" xfId="0" applyNumberFormat="1" applyBorder="1" applyAlignment="1" applyProtection="1">
      <alignment horizontal="center" vertical="center"/>
      <protection locked="0"/>
    </xf>
    <xf numFmtId="2" fontId="0" fillId="0" borderId="12" xfId="0" applyNumberFormat="1" applyBorder="1" applyAlignment="1" applyProtection="1">
      <alignment horizontal="center" vertical="center"/>
      <protection locked="0"/>
    </xf>
    <xf numFmtId="2" fontId="0" fillId="0" borderId="23" xfId="0" applyNumberFormat="1" applyBorder="1" applyAlignment="1" applyProtection="1">
      <alignment horizontal="center" vertical="center"/>
      <protection locked="0"/>
    </xf>
    <xf numFmtId="0" fontId="27" fillId="0" borderId="18"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14" xfId="0" applyFont="1" applyFill="1" applyBorder="1" applyAlignment="1">
      <alignment horizontal="center" vertical="center"/>
    </xf>
    <xf numFmtId="0" fontId="21" fillId="0" borderId="12" xfId="0" applyFont="1" applyFill="1" applyBorder="1" applyAlignment="1">
      <alignment horizontal="left" vertical="center" wrapText="1"/>
    </xf>
    <xf numFmtId="0" fontId="21" fillId="0" borderId="12" xfId="0" applyFont="1" applyFill="1" applyBorder="1" applyAlignment="1">
      <alignment horizontal="left" vertical="center"/>
    </xf>
    <xf numFmtId="0" fontId="21" fillId="0" borderId="0" xfId="0" applyFont="1" applyFill="1" applyBorder="1" applyAlignment="1">
      <alignment horizontal="left" vertical="center"/>
    </xf>
    <xf numFmtId="0" fontId="67" fillId="0" borderId="0" xfId="0" applyFont="1" applyAlignment="1">
      <alignment horizontal="center" vertical="center" wrapText="1"/>
    </xf>
    <xf numFmtId="0" fontId="0" fillId="0" borderId="24" xfId="0" applyBorder="1" applyAlignment="1">
      <alignment horizontal="center"/>
    </xf>
    <xf numFmtId="0" fontId="0" fillId="0" borderId="23"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21" fillId="0" borderId="17"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0" xfId="0" applyFont="1" applyBorder="1" applyAlignment="1">
      <alignment horizontal="center" vertical="center"/>
    </xf>
    <xf numFmtId="167" fontId="4" fillId="0" borderId="18" xfId="0" quotePrefix="1" applyNumberFormat="1" applyFont="1" applyBorder="1" applyAlignment="1">
      <alignment horizontal="center" vertical="center"/>
    </xf>
    <xf numFmtId="167" fontId="4" fillId="0" borderId="13" xfId="0" applyNumberFormat="1" applyFont="1" applyBorder="1" applyAlignment="1">
      <alignment horizontal="center" vertical="center"/>
    </xf>
    <xf numFmtId="0" fontId="57" fillId="0" borderId="0" xfId="0" quotePrefix="1" applyFont="1" applyAlignment="1">
      <alignment horizontal="left" vertical="top" wrapText="1"/>
    </xf>
    <xf numFmtId="0" fontId="67" fillId="0" borderId="10" xfId="0" applyFont="1" applyBorder="1" applyAlignment="1">
      <alignment horizontal="center" vertical="top" wrapText="1"/>
    </xf>
    <xf numFmtId="0" fontId="0" fillId="0" borderId="20" xfId="0" applyBorder="1"/>
    <xf numFmtId="0" fontId="18" fillId="0" borderId="17" xfId="0" applyFont="1" applyBorder="1" applyAlignment="1">
      <alignment horizontal="center" vertical="top" wrapText="1"/>
    </xf>
    <xf numFmtId="0" fontId="18" fillId="0" borderId="16" xfId="0" applyFont="1" applyBorder="1" applyAlignment="1">
      <alignment horizontal="center" vertical="top" wrapText="1"/>
    </xf>
    <xf numFmtId="0" fontId="21" fillId="0" borderId="12" xfId="0" applyFont="1" applyBorder="1" applyAlignment="1">
      <alignment horizontal="left" vertical="center" wrapText="1"/>
    </xf>
    <xf numFmtId="0" fontId="21" fillId="0" borderId="10" xfId="0" applyFont="1" applyBorder="1" applyAlignment="1">
      <alignment horizontal="left" vertical="center" wrapText="1"/>
    </xf>
    <xf numFmtId="0" fontId="4" fillId="0" borderId="22" xfId="0" applyFont="1" applyBorder="1" applyAlignment="1">
      <alignment horizontal="center" vertical="center" wrapText="1"/>
    </xf>
    <xf numFmtId="0" fontId="4" fillId="0" borderId="21" xfId="0" applyFont="1" applyBorder="1" applyAlignment="1">
      <alignment horizontal="center" vertical="center"/>
    </xf>
    <xf numFmtId="0" fontId="4" fillId="0" borderId="22" xfId="0" applyFont="1" applyBorder="1" applyAlignment="1">
      <alignment horizontal="center" vertical="top" wrapText="1"/>
    </xf>
    <xf numFmtId="0" fontId="4" fillId="0" borderId="21" xfId="0" applyFont="1" applyBorder="1" applyAlignment="1">
      <alignment horizontal="center" vertical="top"/>
    </xf>
    <xf numFmtId="0" fontId="21" fillId="0" borderId="0" xfId="0" applyFont="1" applyBorder="1" applyAlignment="1" applyProtection="1">
      <alignment horizontal="left" vertical="center" wrapText="1"/>
      <protection locked="0"/>
    </xf>
    <xf numFmtId="0" fontId="21" fillId="0" borderId="10" xfId="0" applyFont="1" applyBorder="1" applyAlignment="1" applyProtection="1">
      <alignment horizontal="left" vertical="center" wrapText="1"/>
      <protection locked="0"/>
    </xf>
    <xf numFmtId="0" fontId="21" fillId="0" borderId="12" xfId="0" applyFont="1" applyBorder="1" applyAlignment="1" applyProtection="1">
      <alignment horizontal="left" vertical="center" wrapText="1"/>
      <protection locked="0"/>
    </xf>
    <xf numFmtId="0" fontId="138" fillId="0" borderId="10" xfId="0" applyFont="1" applyBorder="1" applyAlignment="1">
      <alignment horizontal="right"/>
    </xf>
    <xf numFmtId="0" fontId="21" fillId="0" borderId="24" xfId="0" applyFont="1" applyBorder="1" applyAlignment="1" applyProtection="1">
      <alignment horizontal="left" vertical="center" wrapText="1"/>
      <protection locked="0"/>
    </xf>
    <xf numFmtId="0" fontId="21" fillId="0" borderId="16" xfId="0" applyFont="1" applyBorder="1" applyAlignment="1" applyProtection="1">
      <alignment horizontal="left" vertical="center" wrapText="1"/>
      <protection locked="0"/>
    </xf>
    <xf numFmtId="0" fontId="17" fillId="0" borderId="19" xfId="0" applyFont="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21" fillId="0" borderId="24" xfId="0" applyFont="1" applyBorder="1" applyAlignment="1" applyProtection="1">
      <alignment vertical="center"/>
      <protection locked="0"/>
    </xf>
    <xf numFmtId="0" fontId="21" fillId="0" borderId="16" xfId="0" applyFont="1" applyBorder="1" applyAlignment="1" applyProtection="1">
      <alignment vertical="center"/>
      <protection locked="0"/>
    </xf>
    <xf numFmtId="0" fontId="4" fillId="0" borderId="21" xfId="0" applyFont="1" applyBorder="1"/>
    <xf numFmtId="0" fontId="4" fillId="0" borderId="2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55" fillId="0" borderId="0" xfId="0" applyFont="1" applyBorder="1" applyAlignment="1" applyProtection="1">
      <alignment horizontal="left" vertical="center" wrapText="1"/>
      <protection locked="0"/>
    </xf>
    <xf numFmtId="0" fontId="55" fillId="0" borderId="0" xfId="0" applyFont="1" applyBorder="1" applyAlignment="1" applyProtection="1">
      <alignment vertical="center"/>
      <protection locked="0"/>
    </xf>
    <xf numFmtId="0" fontId="16" fillId="0" borderId="20" xfId="0" applyFont="1" applyBorder="1" applyAlignment="1">
      <alignment horizontal="center" vertical="center"/>
    </xf>
    <xf numFmtId="0" fontId="31" fillId="0" borderId="12"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16" xfId="0" applyFont="1" applyBorder="1" applyAlignment="1">
      <alignment horizontal="center" vertical="center" wrapText="1"/>
    </xf>
    <xf numFmtId="0" fontId="55" fillId="0" borderId="12" xfId="0" applyFont="1" applyBorder="1" applyAlignment="1" applyProtection="1">
      <alignment horizontal="left" vertical="center" wrapText="1"/>
      <protection locked="0"/>
    </xf>
    <xf numFmtId="0" fontId="16" fillId="0" borderId="22" xfId="0" applyFont="1" applyBorder="1" applyAlignment="1">
      <alignment horizontal="center" vertical="center"/>
    </xf>
    <xf numFmtId="0" fontId="16" fillId="0" borderId="20" xfId="0" applyFont="1" applyBorder="1"/>
    <xf numFmtId="0" fontId="16" fillId="0" borderId="21" xfId="0" applyFont="1" applyBorder="1" applyAlignment="1">
      <alignment horizontal="center" vertical="center"/>
    </xf>
    <xf numFmtId="0" fontId="55" fillId="0" borderId="10" xfId="0" applyFont="1" applyBorder="1" applyAlignment="1" applyProtection="1">
      <alignment horizontal="left" vertical="center" wrapText="1"/>
      <protection locked="0"/>
    </xf>
    <xf numFmtId="0" fontId="55" fillId="0" borderId="0" xfId="0" applyFont="1" applyBorder="1" applyAlignment="1">
      <alignment horizontal="left" vertical="center" wrapText="1"/>
    </xf>
    <xf numFmtId="0" fontId="96" fillId="0" borderId="12" xfId="0" applyFont="1" applyBorder="1" applyAlignment="1">
      <alignment horizontal="left" vertical="top" wrapText="1"/>
    </xf>
    <xf numFmtId="0" fontId="0" fillId="0" borderId="21" xfId="0" applyBorder="1" applyAlignment="1">
      <alignment horizontal="center" vertical="center" wrapText="1"/>
    </xf>
    <xf numFmtId="0" fontId="133" fillId="0" borderId="0" xfId="0" applyFont="1" applyAlignment="1">
      <alignment horizontal="center"/>
    </xf>
    <xf numFmtId="0" fontId="67" fillId="0" borderId="0" xfId="0" applyFont="1" applyAlignment="1">
      <alignment horizontal="center"/>
    </xf>
    <xf numFmtId="0" fontId="0" fillId="0" borderId="20" xfId="0" applyBorder="1" applyAlignment="1">
      <alignment horizontal="center" vertical="center"/>
    </xf>
    <xf numFmtId="1" fontId="18" fillId="0" borderId="24" xfId="0" applyNumberFormat="1" applyFont="1" applyBorder="1" applyAlignment="1">
      <alignment horizontal="center" vertical="center" wrapText="1"/>
    </xf>
    <xf numFmtId="1" fontId="18" fillId="0" borderId="17" xfId="0" applyNumberFormat="1" applyFont="1" applyBorder="1" applyAlignment="1">
      <alignment horizontal="center" vertical="center" wrapText="1"/>
    </xf>
    <xf numFmtId="0" fontId="57" fillId="0" borderId="12" xfId="0" applyFont="1" applyBorder="1" applyAlignment="1">
      <alignment horizontal="center" vertical="top" wrapText="1"/>
    </xf>
    <xf numFmtId="0" fontId="57" fillId="0" borderId="0" xfId="0" applyFont="1" applyBorder="1" applyAlignment="1">
      <alignment horizontal="center" vertical="top" wrapText="1"/>
    </xf>
    <xf numFmtId="0" fontId="0" fillId="0" borderId="10" xfId="0" applyBorder="1" applyAlignment="1">
      <alignment wrapText="1"/>
    </xf>
    <xf numFmtId="0" fontId="57" fillId="0" borderId="12"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15" fillId="0" borderId="16" xfId="0" applyFont="1" applyBorder="1" applyAlignment="1">
      <alignment horizontal="center" vertical="center"/>
    </xf>
    <xf numFmtId="0" fontId="15" fillId="0" borderId="15" xfId="0" applyFont="1" applyBorder="1" applyAlignment="1">
      <alignment horizontal="center" vertical="center"/>
    </xf>
    <xf numFmtId="0" fontId="18" fillId="0" borderId="0" xfId="0" applyFont="1" applyAlignment="1">
      <alignment horizontal="center" vertical="center" wrapText="1"/>
    </xf>
    <xf numFmtId="0" fontId="84" fillId="0" borderId="0" xfId="0" applyFont="1" applyAlignment="1">
      <alignment horizontal="center" vertical="center"/>
    </xf>
    <xf numFmtId="0" fontId="0" fillId="0" borderId="0" xfId="0" applyAlignment="1"/>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_Sheet1" xfId="38"/>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11">
    <dxf>
      <font>
        <b/>
        <i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font>
    </dxf>
    <dxf>
      <font>
        <b/>
        <i val="0"/>
      </font>
    </dxf>
    <dxf>
      <font>
        <b/>
        <i val="0"/>
        <condense val="0"/>
        <extend val="0"/>
      </font>
    </dxf>
    <dxf>
      <font>
        <b/>
        <i val="0"/>
        <condense val="0"/>
        <extend val="0"/>
      </font>
    </dxf>
    <dxf>
      <font>
        <b/>
        <i val="0"/>
        <condense val="0"/>
        <extend val="0"/>
      </font>
    </dxf>
  </dxfs>
  <tableStyles count="0" defaultTableStyle="TableStyleMedium9" defaultPivotStyle="PivotStyleLight16"/>
  <colors>
    <mruColors>
      <color rgb="FF993366"/>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57150</xdr:colOff>
      <xdr:row>7</xdr:row>
      <xdr:rowOff>0</xdr:rowOff>
    </xdr:from>
    <xdr:to>
      <xdr:col>10</xdr:col>
      <xdr:colOff>0</xdr:colOff>
      <xdr:row>33</xdr:row>
      <xdr:rowOff>19050</xdr:rowOff>
    </xdr:to>
    <xdr:sp macro="" textlink="">
      <xdr:nvSpPr>
        <xdr:cNvPr id="1029" name="WordArt 5"/>
        <xdr:cNvSpPr>
          <a:spLocks noChangeArrowheads="1" noChangeShapeType="1"/>
        </xdr:cNvSpPr>
      </xdr:nvSpPr>
      <xdr:spPr bwMode="auto">
        <a:xfrm>
          <a:off x="57150" y="1133475"/>
          <a:ext cx="6038850" cy="4229100"/>
        </a:xfrm>
        <a:prstGeom prst="rect">
          <a:avLst/>
        </a:prstGeom>
      </xdr:spPr>
      <xdr:txBody>
        <a:bodyPr wrap="none" fromWordArt="1">
          <a:prstTxWarp prst="textArchUp">
            <a:avLst>
              <a:gd name="adj" fmla="val 12257413"/>
            </a:avLst>
          </a:prstTxWarp>
        </a:bodyPr>
        <a:lstStyle/>
        <a:p>
          <a:pPr algn="ctr" rtl="0"/>
          <a:r>
            <a:rPr lang="en-IN" sz="3600" kern="10" spc="0">
              <a:ln w="9525">
                <a:solidFill>
                  <a:srgbClr val="993366"/>
                </a:solidFill>
                <a:round/>
                <a:headEnd/>
                <a:tailEnd/>
              </a:ln>
              <a:solidFill>
                <a:srgbClr val="993366"/>
              </a:solidFill>
              <a:effectLst/>
              <a:latin typeface="Arial"/>
              <a:cs typeface="Arial"/>
            </a:rPr>
            <a:t>District Statistical Handbook</a:t>
          </a:r>
        </a:p>
      </xdr:txBody>
    </xdr:sp>
    <xdr:clientData/>
  </xdr:twoCellAnchor>
  <xdr:twoCellAnchor>
    <xdr:from>
      <xdr:col>2</xdr:col>
      <xdr:colOff>228600</xdr:colOff>
      <xdr:row>12</xdr:row>
      <xdr:rowOff>19050</xdr:rowOff>
    </xdr:from>
    <xdr:to>
      <xdr:col>7</xdr:col>
      <xdr:colOff>504825</xdr:colOff>
      <xdr:row>15</xdr:row>
      <xdr:rowOff>19050</xdr:rowOff>
    </xdr:to>
    <xdr:sp macro="" textlink="">
      <xdr:nvSpPr>
        <xdr:cNvPr id="1037" name="WordArt 13"/>
        <xdr:cNvSpPr>
          <a:spLocks noChangeArrowheads="1" noChangeShapeType="1" noTextEdit="1"/>
        </xdr:cNvSpPr>
      </xdr:nvSpPr>
      <xdr:spPr bwMode="auto">
        <a:xfrm>
          <a:off x="1447800" y="1962150"/>
          <a:ext cx="3324225" cy="485775"/>
        </a:xfrm>
        <a:prstGeom prst="rect">
          <a:avLst/>
        </a:prstGeom>
      </xdr:spPr>
      <xdr:txBody>
        <a:bodyPr wrap="none" fromWordArt="1">
          <a:prstTxWarp prst="textPlain">
            <a:avLst>
              <a:gd name="adj" fmla="val 50000"/>
            </a:avLst>
          </a:prstTxWarp>
        </a:bodyPr>
        <a:lstStyle/>
        <a:p>
          <a:pPr algn="ctr" rtl="0"/>
          <a:r>
            <a:rPr lang="en-IN" sz="2800" kern="10" spc="0">
              <a:ln w="9525">
                <a:noFill/>
                <a:round/>
                <a:headEnd/>
                <a:tailEnd/>
              </a:ln>
              <a:solidFill>
                <a:srgbClr val="008000"/>
              </a:solidFill>
              <a:effectLst>
                <a:outerShdw dist="45791" dir="2021404" algn="ctr" rotWithShape="0">
                  <a:srgbClr val="C0C0C0"/>
                </a:outerShdw>
              </a:effectLst>
              <a:latin typeface="Times New Roman"/>
              <a:cs typeface="Times New Roman"/>
            </a:rPr>
            <a:t>PURBA MEDINIPUR</a:t>
          </a:r>
        </a:p>
      </xdr:txBody>
    </xdr:sp>
    <xdr:clientData/>
  </xdr:twoCellAnchor>
  <xdr:twoCellAnchor editAs="oneCell">
    <xdr:from>
      <xdr:col>0</xdr:col>
      <xdr:colOff>76200</xdr:colOff>
      <xdr:row>22</xdr:row>
      <xdr:rowOff>9525</xdr:rowOff>
    </xdr:from>
    <xdr:to>
      <xdr:col>9</xdr:col>
      <xdr:colOff>523875</xdr:colOff>
      <xdr:row>54</xdr:row>
      <xdr:rowOff>28575</xdr:rowOff>
    </xdr:to>
    <xdr:pic>
      <xdr:nvPicPr>
        <xdr:cNvPr id="1148" name="Picture 16" descr="purbo_medinipur"/>
        <xdr:cNvPicPr>
          <a:picLocks noChangeAspect="1" noChangeArrowheads="1"/>
        </xdr:cNvPicPr>
      </xdr:nvPicPr>
      <xdr:blipFill>
        <a:blip xmlns:r="http://schemas.openxmlformats.org/officeDocument/2006/relationships" r:embed="rId1"/>
        <a:srcRect/>
        <a:stretch>
          <a:fillRect/>
        </a:stretch>
      </xdr:blipFill>
      <xdr:spPr bwMode="auto">
        <a:xfrm>
          <a:off x="76200" y="3571875"/>
          <a:ext cx="5934075" cy="5391150"/>
        </a:xfrm>
        <a:prstGeom prst="rect">
          <a:avLst/>
        </a:prstGeom>
        <a:noFill/>
        <a:ln w="9525">
          <a:noFill/>
          <a:miter lim="800000"/>
          <a:headEnd/>
          <a:tailEnd/>
        </a:ln>
      </xdr:spPr>
    </xdr:pic>
    <xdr:clientData/>
  </xdr:twoCellAnchor>
  <xdr:twoCellAnchor>
    <xdr:from>
      <xdr:col>3</xdr:col>
      <xdr:colOff>47625</xdr:colOff>
      <xdr:row>16</xdr:row>
      <xdr:rowOff>133350</xdr:rowOff>
    </xdr:from>
    <xdr:to>
      <xdr:col>7</xdr:col>
      <xdr:colOff>0</xdr:colOff>
      <xdr:row>19</xdr:row>
      <xdr:rowOff>47625</xdr:rowOff>
    </xdr:to>
    <xdr:sp macro="" textlink="">
      <xdr:nvSpPr>
        <xdr:cNvPr id="1149" name="WordArt 17" descr="White marble"/>
        <xdr:cNvSpPr>
          <a:spLocks noChangeArrowheads="1" noChangeShapeType="1" noTextEdit="1"/>
        </xdr:cNvSpPr>
      </xdr:nvSpPr>
      <xdr:spPr bwMode="auto">
        <a:xfrm>
          <a:off x="1876425" y="2724150"/>
          <a:ext cx="2390775" cy="400050"/>
        </a:xfrm>
        <a:prstGeom prst="rect">
          <a:avLst/>
        </a:prstGeom>
      </xdr:spPr>
      <xdr:txBody>
        <a:bodyPr vertOverflow="clip" wrap="none" lIns="91440" tIns="45720" rIns="91440" bIns="45720" fromWordArt="1" anchor="t" upright="1">
          <a:prstTxWarp prst="textPlain">
            <a:avLst>
              <a:gd name="adj" fmla="val 50000"/>
            </a:avLst>
          </a:prstTxWarp>
          <a:scene3d>
            <a:camera prst="legacyObliqueRight"/>
            <a:lightRig rig="legacyHarsh3" dir="t"/>
          </a:scene3d>
          <a:sp3d extrusionH="100000" prstMaterial="legacyMatte">
            <a:extrusionClr>
              <a:srgbClr val="663300"/>
            </a:extrusionClr>
          </a:sp3d>
        </a:bodyPr>
        <a:lstStyle/>
        <a:p>
          <a:pPr algn="ctr" rtl="0"/>
          <a:r>
            <a:rPr lang="en-US" sz="2800" u="none" strike="noStrike" kern="10" cap="small" spc="0" baseline="0">
              <a:ln w="9525">
                <a:round/>
                <a:headEnd/>
                <a:tailEnd/>
              </a:ln>
              <a:blipFill dpi="0" rotWithShape="0">
                <a:blip xmlns:r="http://schemas.openxmlformats.org/officeDocument/2006/relationships" r:embed="rId2"/>
                <a:srcRect/>
                <a:tile tx="0" ty="0" sx="100000" sy="100000" flip="none" algn="tl"/>
              </a:blipFill>
              <a:latin typeface="Garamond"/>
            </a:rPr>
            <a:t>2014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1123950</xdr:colOff>
      <xdr:row>8</xdr:row>
      <xdr:rowOff>19050</xdr:rowOff>
    </xdr:from>
    <xdr:to>
      <xdr:col>1</xdr:col>
      <xdr:colOff>1200150</xdr:colOff>
      <xdr:row>10</xdr:row>
      <xdr:rowOff>9525</xdr:rowOff>
    </xdr:to>
    <xdr:sp macro="" textlink="">
      <xdr:nvSpPr>
        <xdr:cNvPr id="14629" name="AutoShape 19"/>
        <xdr:cNvSpPr>
          <a:spLocks/>
        </xdr:cNvSpPr>
      </xdr:nvSpPr>
      <xdr:spPr bwMode="auto">
        <a:xfrm>
          <a:off x="2152650" y="1524000"/>
          <a:ext cx="76200" cy="295275"/>
        </a:xfrm>
        <a:prstGeom prst="leftBrace">
          <a:avLst>
            <a:gd name="adj1" fmla="val 32292"/>
            <a:gd name="adj2" fmla="val 50000"/>
          </a:avLst>
        </a:prstGeom>
        <a:noFill/>
        <a:ln w="9525">
          <a:solidFill>
            <a:srgbClr val="FF6600"/>
          </a:solidFill>
          <a:round/>
          <a:headEnd/>
          <a:tailEnd/>
        </a:ln>
      </xdr:spPr>
    </xdr:sp>
    <xdr:clientData/>
  </xdr:twoCellAnchor>
  <xdr:twoCellAnchor>
    <xdr:from>
      <xdr:col>1</xdr:col>
      <xdr:colOff>1133475</xdr:colOff>
      <xdr:row>10</xdr:row>
      <xdr:rowOff>0</xdr:rowOff>
    </xdr:from>
    <xdr:to>
      <xdr:col>1</xdr:col>
      <xdr:colOff>1181100</xdr:colOff>
      <xdr:row>11</xdr:row>
      <xdr:rowOff>114300</xdr:rowOff>
    </xdr:to>
    <xdr:sp macro="" textlink="">
      <xdr:nvSpPr>
        <xdr:cNvPr id="14630" name="AutoShape 20"/>
        <xdr:cNvSpPr>
          <a:spLocks/>
        </xdr:cNvSpPr>
      </xdr:nvSpPr>
      <xdr:spPr bwMode="auto">
        <a:xfrm>
          <a:off x="2162175" y="1809750"/>
          <a:ext cx="47625" cy="266700"/>
        </a:xfrm>
        <a:prstGeom prst="leftBrace">
          <a:avLst>
            <a:gd name="adj1" fmla="val 46667"/>
            <a:gd name="adj2" fmla="val 50000"/>
          </a:avLst>
        </a:prstGeom>
        <a:noFill/>
        <a:ln w="9525">
          <a:solidFill>
            <a:srgbClr val="FF6600"/>
          </a:solidFill>
          <a:round/>
          <a:headEnd/>
          <a:tailEnd/>
        </a:ln>
      </xdr:spPr>
    </xdr:sp>
    <xdr:clientData/>
  </xdr:twoCellAnchor>
  <xdr:twoCellAnchor>
    <xdr:from>
      <xdr:col>1</xdr:col>
      <xdr:colOff>1162049</xdr:colOff>
      <xdr:row>12</xdr:row>
      <xdr:rowOff>0</xdr:rowOff>
    </xdr:from>
    <xdr:to>
      <xdr:col>1</xdr:col>
      <xdr:colOff>1209674</xdr:colOff>
      <xdr:row>13</xdr:row>
      <xdr:rowOff>123825</xdr:rowOff>
    </xdr:to>
    <xdr:sp macro="" textlink="">
      <xdr:nvSpPr>
        <xdr:cNvPr id="14631" name="AutoShape 21"/>
        <xdr:cNvSpPr>
          <a:spLocks/>
        </xdr:cNvSpPr>
      </xdr:nvSpPr>
      <xdr:spPr bwMode="auto">
        <a:xfrm>
          <a:off x="2190749" y="2114550"/>
          <a:ext cx="47625" cy="276225"/>
        </a:xfrm>
        <a:prstGeom prst="leftBrace">
          <a:avLst>
            <a:gd name="adj1" fmla="val 40278"/>
            <a:gd name="adj2" fmla="val 50000"/>
          </a:avLst>
        </a:prstGeom>
        <a:noFill/>
        <a:ln w="9525">
          <a:solidFill>
            <a:srgbClr val="FF6600"/>
          </a:solidFill>
          <a:round/>
          <a:headEnd/>
          <a:tailEnd/>
        </a:ln>
      </xdr:spPr>
    </xdr:sp>
    <xdr:clientData/>
  </xdr:twoCellAnchor>
  <xdr:twoCellAnchor>
    <xdr:from>
      <xdr:col>1</xdr:col>
      <xdr:colOff>1181100</xdr:colOff>
      <xdr:row>19</xdr:row>
      <xdr:rowOff>28575</xdr:rowOff>
    </xdr:from>
    <xdr:to>
      <xdr:col>1</xdr:col>
      <xdr:colOff>1219200</xdr:colOff>
      <xdr:row>21</xdr:row>
      <xdr:rowOff>0</xdr:rowOff>
    </xdr:to>
    <xdr:sp macro="" textlink="">
      <xdr:nvSpPr>
        <xdr:cNvPr id="14632" name="AutoShape 22"/>
        <xdr:cNvSpPr>
          <a:spLocks/>
        </xdr:cNvSpPr>
      </xdr:nvSpPr>
      <xdr:spPr bwMode="auto">
        <a:xfrm>
          <a:off x="2209800" y="3209925"/>
          <a:ext cx="38100" cy="276225"/>
        </a:xfrm>
        <a:prstGeom prst="leftBrace">
          <a:avLst>
            <a:gd name="adj1" fmla="val 60417"/>
            <a:gd name="adj2" fmla="val 50000"/>
          </a:avLst>
        </a:prstGeom>
        <a:noFill/>
        <a:ln w="9525">
          <a:solidFill>
            <a:srgbClr val="FF6600"/>
          </a:solidFill>
          <a:round/>
          <a:headEnd/>
          <a:tailEnd/>
        </a:ln>
      </xdr:spPr>
    </xdr:sp>
    <xdr:clientData/>
  </xdr:twoCellAnchor>
  <xdr:twoCellAnchor>
    <xdr:from>
      <xdr:col>1</xdr:col>
      <xdr:colOff>1133475</xdr:colOff>
      <xdr:row>28</xdr:row>
      <xdr:rowOff>9525</xdr:rowOff>
    </xdr:from>
    <xdr:to>
      <xdr:col>1</xdr:col>
      <xdr:colOff>1209675</xdr:colOff>
      <xdr:row>31</xdr:row>
      <xdr:rowOff>0</xdr:rowOff>
    </xdr:to>
    <xdr:sp macro="" textlink="">
      <xdr:nvSpPr>
        <xdr:cNvPr id="14633" name="AutoShape 23"/>
        <xdr:cNvSpPr>
          <a:spLocks/>
        </xdr:cNvSpPr>
      </xdr:nvSpPr>
      <xdr:spPr bwMode="auto">
        <a:xfrm>
          <a:off x="2162175" y="4743450"/>
          <a:ext cx="76200" cy="447675"/>
        </a:xfrm>
        <a:prstGeom prst="leftBrace">
          <a:avLst>
            <a:gd name="adj1" fmla="val 48958"/>
            <a:gd name="adj2" fmla="val 50000"/>
          </a:avLst>
        </a:prstGeom>
        <a:noFill/>
        <a:ln w="9525">
          <a:solidFill>
            <a:srgbClr val="FF6600"/>
          </a:solidFill>
          <a:round/>
          <a:headEnd/>
          <a:tailEnd/>
        </a:ln>
      </xdr:spPr>
    </xdr:sp>
    <xdr:clientData/>
  </xdr:twoCellAnchor>
  <xdr:twoCellAnchor>
    <xdr:from>
      <xdr:col>1</xdr:col>
      <xdr:colOff>1066800</xdr:colOff>
      <xdr:row>40</xdr:row>
      <xdr:rowOff>47625</xdr:rowOff>
    </xdr:from>
    <xdr:to>
      <xdr:col>1</xdr:col>
      <xdr:colOff>1152525</xdr:colOff>
      <xdr:row>41</xdr:row>
      <xdr:rowOff>333375</xdr:rowOff>
    </xdr:to>
    <xdr:sp macro="" textlink="">
      <xdr:nvSpPr>
        <xdr:cNvPr id="14634" name="AutoShape 24"/>
        <xdr:cNvSpPr>
          <a:spLocks/>
        </xdr:cNvSpPr>
      </xdr:nvSpPr>
      <xdr:spPr bwMode="auto">
        <a:xfrm>
          <a:off x="2095500" y="6762750"/>
          <a:ext cx="85725" cy="438150"/>
        </a:xfrm>
        <a:prstGeom prst="leftBrace">
          <a:avLst>
            <a:gd name="adj1" fmla="val 42593"/>
            <a:gd name="adj2" fmla="val 50000"/>
          </a:avLst>
        </a:prstGeom>
        <a:noFill/>
        <a:ln w="9525">
          <a:solidFill>
            <a:srgbClr val="FF6600"/>
          </a:solidFill>
          <a:round/>
          <a:headEnd/>
          <a:tailEnd/>
        </a:ln>
      </xdr:spPr>
    </xdr:sp>
    <xdr:clientData/>
  </xdr:twoCellAnchor>
  <xdr:twoCellAnchor>
    <xdr:from>
      <xdr:col>1</xdr:col>
      <xdr:colOff>1162050</xdr:colOff>
      <xdr:row>23</xdr:row>
      <xdr:rowOff>0</xdr:rowOff>
    </xdr:from>
    <xdr:to>
      <xdr:col>1</xdr:col>
      <xdr:colOff>1228725</xdr:colOff>
      <xdr:row>23</xdr:row>
      <xdr:rowOff>314325</xdr:rowOff>
    </xdr:to>
    <xdr:sp macro="" textlink="">
      <xdr:nvSpPr>
        <xdr:cNvPr id="14635" name="AutoShape 25"/>
        <xdr:cNvSpPr>
          <a:spLocks/>
        </xdr:cNvSpPr>
      </xdr:nvSpPr>
      <xdr:spPr bwMode="auto">
        <a:xfrm flipH="1">
          <a:off x="2190750" y="3790950"/>
          <a:ext cx="66675" cy="314325"/>
        </a:xfrm>
        <a:prstGeom prst="leftBrace">
          <a:avLst>
            <a:gd name="adj1" fmla="val 39286"/>
            <a:gd name="adj2" fmla="val 50000"/>
          </a:avLst>
        </a:prstGeom>
        <a:noFill/>
        <a:ln w="9525">
          <a:solidFill>
            <a:srgbClr val="FF6600"/>
          </a:solidFill>
          <a:round/>
          <a:headEnd/>
          <a:tailEnd/>
        </a:ln>
      </xdr:spPr>
    </xdr:sp>
    <xdr:clientData/>
  </xdr:twoCellAnchor>
  <xdr:twoCellAnchor>
    <xdr:from>
      <xdr:col>1</xdr:col>
      <xdr:colOff>1133475</xdr:colOff>
      <xdr:row>24</xdr:row>
      <xdr:rowOff>142875</xdr:rowOff>
    </xdr:from>
    <xdr:to>
      <xdr:col>1</xdr:col>
      <xdr:colOff>1171575</xdr:colOff>
      <xdr:row>26</xdr:row>
      <xdr:rowOff>133350</xdr:rowOff>
    </xdr:to>
    <xdr:sp macro="" textlink="">
      <xdr:nvSpPr>
        <xdr:cNvPr id="14636" name="AutoShape 26"/>
        <xdr:cNvSpPr>
          <a:spLocks/>
        </xdr:cNvSpPr>
      </xdr:nvSpPr>
      <xdr:spPr bwMode="auto">
        <a:xfrm>
          <a:off x="2162175" y="4267200"/>
          <a:ext cx="38100" cy="295275"/>
        </a:xfrm>
        <a:prstGeom prst="leftBrace">
          <a:avLst>
            <a:gd name="adj1" fmla="val 64583"/>
            <a:gd name="adj2" fmla="val 50000"/>
          </a:avLst>
        </a:prstGeom>
        <a:noFill/>
        <a:ln w="9525">
          <a:solidFill>
            <a:srgbClr val="FF6600"/>
          </a:solidFill>
          <a:round/>
          <a:headEnd/>
          <a:tailEnd/>
        </a:ln>
      </xdr:spPr>
    </xdr:sp>
    <xdr:clientData/>
  </xdr:twoCellAnchor>
  <xdr:twoCellAnchor>
    <xdr:from>
      <xdr:col>1</xdr:col>
      <xdr:colOff>1143000</xdr:colOff>
      <xdr:row>35</xdr:row>
      <xdr:rowOff>9525</xdr:rowOff>
    </xdr:from>
    <xdr:to>
      <xdr:col>1</xdr:col>
      <xdr:colOff>1209675</xdr:colOff>
      <xdr:row>37</xdr:row>
      <xdr:rowOff>295275</xdr:rowOff>
    </xdr:to>
    <xdr:sp macro="" textlink="">
      <xdr:nvSpPr>
        <xdr:cNvPr id="14638" name="AutoShape 29"/>
        <xdr:cNvSpPr>
          <a:spLocks/>
        </xdr:cNvSpPr>
      </xdr:nvSpPr>
      <xdr:spPr bwMode="auto">
        <a:xfrm flipH="1">
          <a:off x="2171700" y="5810250"/>
          <a:ext cx="66675" cy="590550"/>
        </a:xfrm>
        <a:prstGeom prst="leftBrace">
          <a:avLst>
            <a:gd name="adj1" fmla="val 73810"/>
            <a:gd name="adj2" fmla="val 50000"/>
          </a:avLst>
        </a:prstGeom>
        <a:noFill/>
        <a:ln w="9525">
          <a:solidFill>
            <a:srgbClr val="FF66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1438275</xdr:colOff>
      <xdr:row>7</xdr:row>
      <xdr:rowOff>19050</xdr:rowOff>
    </xdr:from>
    <xdr:to>
      <xdr:col>0</xdr:col>
      <xdr:colOff>1533525</xdr:colOff>
      <xdr:row>8</xdr:row>
      <xdr:rowOff>200025</xdr:rowOff>
    </xdr:to>
    <xdr:sp macro="" textlink="">
      <xdr:nvSpPr>
        <xdr:cNvPr id="27717" name="AutoShape 1"/>
        <xdr:cNvSpPr>
          <a:spLocks/>
        </xdr:cNvSpPr>
      </xdr:nvSpPr>
      <xdr:spPr bwMode="auto">
        <a:xfrm>
          <a:off x="1438275" y="2200275"/>
          <a:ext cx="95250" cy="419100"/>
        </a:xfrm>
        <a:prstGeom prst="rightBrace">
          <a:avLst>
            <a:gd name="adj1" fmla="val 36667"/>
            <a:gd name="adj2" fmla="val 50000"/>
          </a:avLst>
        </a:prstGeom>
        <a:noFill/>
        <a:ln w="9525">
          <a:solidFill>
            <a:srgbClr val="000000"/>
          </a:solidFill>
          <a:round/>
          <a:headEnd/>
          <a:tailEnd/>
        </a:ln>
      </xdr:spPr>
    </xdr:sp>
    <xdr:clientData/>
  </xdr:twoCellAnchor>
  <xdr:twoCellAnchor>
    <xdr:from>
      <xdr:col>2</xdr:col>
      <xdr:colOff>819150</xdr:colOff>
      <xdr:row>7</xdr:row>
      <xdr:rowOff>9525</xdr:rowOff>
    </xdr:from>
    <xdr:to>
      <xdr:col>2</xdr:col>
      <xdr:colOff>895350</xdr:colOff>
      <xdr:row>8</xdr:row>
      <xdr:rowOff>190500</xdr:rowOff>
    </xdr:to>
    <xdr:sp macro="" textlink="">
      <xdr:nvSpPr>
        <xdr:cNvPr id="27718" name="AutoShape 1"/>
        <xdr:cNvSpPr>
          <a:spLocks/>
        </xdr:cNvSpPr>
      </xdr:nvSpPr>
      <xdr:spPr bwMode="auto">
        <a:xfrm>
          <a:off x="3267075" y="2190750"/>
          <a:ext cx="76200" cy="419100"/>
        </a:xfrm>
        <a:prstGeom prst="rightBrace">
          <a:avLst>
            <a:gd name="adj1" fmla="val 45833"/>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3</xdr:row>
      <xdr:rowOff>76200</xdr:rowOff>
    </xdr:from>
    <xdr:to>
      <xdr:col>8</xdr:col>
      <xdr:colOff>542925</xdr:colOff>
      <xdr:row>51</xdr:row>
      <xdr:rowOff>152400</xdr:rowOff>
    </xdr:to>
    <xdr:sp macro="" textlink="">
      <xdr:nvSpPr>
        <xdr:cNvPr id="26626" name="Homepage"/>
        <xdr:cNvSpPr>
          <a:spLocks noEditPoints="1" noChangeArrowheads="1"/>
        </xdr:cNvSpPr>
      </xdr:nvSpPr>
      <xdr:spPr bwMode="auto">
        <a:xfrm flipH="1">
          <a:off x="219075" y="561975"/>
          <a:ext cx="5200650" cy="7848600"/>
        </a:xfrm>
        <a:custGeom>
          <a:avLst/>
          <a:gdLst>
            <a:gd name="T0" fmla="*/ 0 w 21600"/>
            <a:gd name="T1" fmla="*/ 0 h 21600"/>
            <a:gd name="T2" fmla="*/ 10800 w 21600"/>
            <a:gd name="T3" fmla="*/ 0 h 21600"/>
            <a:gd name="T4" fmla="*/ 21600 w 21600"/>
            <a:gd name="T5" fmla="*/ 0 h 21600"/>
            <a:gd name="T6" fmla="*/ 21600 w 21600"/>
            <a:gd name="T7" fmla="*/ 10800 h 21600"/>
            <a:gd name="T8" fmla="*/ 21600 w 21600"/>
            <a:gd name="T9" fmla="*/ 21600 h 21600"/>
            <a:gd name="T10" fmla="*/ 10800 w 21600"/>
            <a:gd name="T11" fmla="*/ 21600 h 21600"/>
            <a:gd name="T12" fmla="*/ 0 w 21600"/>
            <a:gd name="T13" fmla="*/ 10800 h 21600"/>
            <a:gd name="T14" fmla="*/ 999 w 21600"/>
            <a:gd name="T15" fmla="*/ 12174 h 21600"/>
            <a:gd name="T16" fmla="*/ 20813 w 21600"/>
            <a:gd name="T17" fmla="*/ 17149 h 21600"/>
          </a:gdLst>
          <a:ahLst/>
          <a:cxnLst>
            <a:cxn ang="0">
              <a:pos x="T0" y="T1"/>
            </a:cxn>
            <a:cxn ang="0">
              <a:pos x="T2" y="T3"/>
            </a:cxn>
            <a:cxn ang="0">
              <a:pos x="T4" y="T5"/>
            </a:cxn>
            <a:cxn ang="0">
              <a:pos x="T6" y="T7"/>
            </a:cxn>
            <a:cxn ang="0">
              <a:pos x="T8" y="T9"/>
            </a:cxn>
            <a:cxn ang="0">
              <a:pos x="T10" y="T11"/>
            </a:cxn>
            <a:cxn ang="0">
              <a:pos x="T12" y="T13"/>
            </a:cxn>
          </a:cxnLst>
          <a:rect l="T14" t="T15" r="T16" b="T17"/>
          <a:pathLst>
            <a:path w="21600" h="21600" extrusionOk="0">
              <a:moveTo>
                <a:pt x="10757" y="21632"/>
              </a:moveTo>
              <a:lnTo>
                <a:pt x="5187" y="21632"/>
              </a:lnTo>
              <a:lnTo>
                <a:pt x="85" y="17509"/>
              </a:lnTo>
              <a:lnTo>
                <a:pt x="85" y="10849"/>
              </a:lnTo>
              <a:lnTo>
                <a:pt x="85" y="81"/>
              </a:lnTo>
              <a:lnTo>
                <a:pt x="10757" y="81"/>
              </a:lnTo>
              <a:lnTo>
                <a:pt x="21706" y="81"/>
              </a:lnTo>
              <a:lnTo>
                <a:pt x="21706" y="10652"/>
              </a:lnTo>
              <a:lnTo>
                <a:pt x="21706" y="21632"/>
              </a:lnTo>
              <a:lnTo>
                <a:pt x="10757" y="21632"/>
              </a:lnTo>
              <a:close/>
            </a:path>
            <a:path w="21600" h="21600" extrusionOk="0">
              <a:moveTo>
                <a:pt x="85" y="17509"/>
              </a:moveTo>
              <a:lnTo>
                <a:pt x="5187" y="17509"/>
              </a:lnTo>
              <a:lnTo>
                <a:pt x="5187" y="21632"/>
              </a:lnTo>
              <a:lnTo>
                <a:pt x="85" y="17509"/>
              </a:lnTo>
              <a:close/>
            </a:path>
            <a:path w="21600" h="21600" extrusionOk="0">
              <a:moveTo>
                <a:pt x="5251" y="7101"/>
              </a:moveTo>
              <a:lnTo>
                <a:pt x="5251" y="11160"/>
              </a:lnTo>
              <a:lnTo>
                <a:pt x="16306" y="11160"/>
              </a:lnTo>
              <a:lnTo>
                <a:pt x="16306" y="7052"/>
              </a:lnTo>
              <a:lnTo>
                <a:pt x="16901" y="6561"/>
              </a:lnTo>
              <a:lnTo>
                <a:pt x="15264" y="5236"/>
              </a:lnTo>
              <a:lnTo>
                <a:pt x="15264" y="1636"/>
              </a:lnTo>
              <a:lnTo>
                <a:pt x="13478" y="1636"/>
              </a:lnTo>
              <a:lnTo>
                <a:pt x="13478" y="3698"/>
              </a:lnTo>
              <a:lnTo>
                <a:pt x="11182" y="1669"/>
              </a:lnTo>
              <a:lnTo>
                <a:pt x="4847" y="6561"/>
              </a:lnTo>
              <a:lnTo>
                <a:pt x="5251" y="7101"/>
              </a:lnTo>
              <a:close/>
            </a:path>
            <a:path w="21600" h="21600" extrusionOk="0">
              <a:moveTo>
                <a:pt x="9396" y="11160"/>
              </a:moveTo>
              <a:lnTo>
                <a:pt x="9396" y="7772"/>
              </a:lnTo>
              <a:lnTo>
                <a:pt x="11820" y="7772"/>
              </a:lnTo>
              <a:lnTo>
                <a:pt x="11820" y="11160"/>
              </a:lnTo>
              <a:lnTo>
                <a:pt x="9396" y="11160"/>
              </a:lnTo>
              <a:close/>
            </a:path>
          </a:pathLst>
        </a:custGeom>
        <a:solidFill>
          <a:srgbClr val="CCFFCC"/>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ctr" rtl="1">
            <a:defRPr sz="1000"/>
          </a:pPr>
          <a:r>
            <a:rPr lang="en-US" sz="3500" b="0" i="0" strike="noStrike">
              <a:solidFill>
                <a:srgbClr val="000000"/>
              </a:solidFill>
              <a:latin typeface="Times New Roman"/>
              <a:cs typeface="Times New Roman"/>
            </a:rPr>
            <a:t>BLOCK LEVEL </a:t>
          </a:r>
        </a:p>
        <a:p>
          <a:pPr algn="ctr" rtl="1">
            <a:defRPr sz="1000"/>
          </a:pPr>
          <a:r>
            <a:rPr lang="en-US" sz="3500" b="0" i="0" strike="noStrike">
              <a:solidFill>
                <a:srgbClr val="000000"/>
              </a:solidFill>
              <a:latin typeface="Times New Roman"/>
              <a:cs typeface="Times New Roman"/>
            </a:rPr>
            <a:t>STATISTICS</a:t>
          </a:r>
          <a:r>
            <a:rPr lang="en-US" sz="4000" b="0" i="0" strike="noStrike">
              <a:solidFill>
                <a:srgbClr val="000000"/>
              </a:solidFill>
              <a:latin typeface="Times New Roman"/>
              <a:cs typeface="Times New Roman"/>
            </a:rPr>
            <a:t> </a:t>
          </a:r>
        </a:p>
        <a:p>
          <a:pPr algn="ctr" rtl="1">
            <a:defRPr sz="1000"/>
          </a:pPr>
          <a:r>
            <a:rPr lang="en-US" sz="3500" b="1" i="0" strike="noStrike">
              <a:solidFill>
                <a:srgbClr val="000000"/>
              </a:solidFill>
              <a:latin typeface="Rockwell"/>
            </a:rPr>
            <a:t>2013-14</a:t>
          </a:r>
        </a:p>
        <a:p>
          <a:pPr algn="ctr" rtl="1">
            <a:defRPr sz="1000"/>
          </a:pPr>
          <a:endParaRPr lang="en-US" sz="3500" b="1" i="0" strike="noStrike">
            <a:solidFill>
              <a:srgbClr val="000000"/>
            </a:solidFill>
            <a:latin typeface="Rockwe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200025</xdr:colOff>
      <xdr:row>3</xdr:row>
      <xdr:rowOff>28575</xdr:rowOff>
    </xdr:from>
    <xdr:to>
      <xdr:col>0</xdr:col>
      <xdr:colOff>5953125</xdr:colOff>
      <xdr:row>24</xdr:row>
      <xdr:rowOff>47625</xdr:rowOff>
    </xdr:to>
    <xdr:sp macro="" textlink="">
      <xdr:nvSpPr>
        <xdr:cNvPr id="17409" name="AutoShape 1"/>
        <xdr:cNvSpPr>
          <a:spLocks noChangeArrowheads="1"/>
        </xdr:cNvSpPr>
      </xdr:nvSpPr>
      <xdr:spPr bwMode="auto">
        <a:xfrm>
          <a:off x="200025" y="4086225"/>
          <a:ext cx="5753100" cy="3419475"/>
        </a:xfrm>
        <a:prstGeom prst="sun">
          <a:avLst>
            <a:gd name="adj" fmla="val 25000"/>
          </a:avLst>
        </a:prstGeom>
        <a:solidFill>
          <a:srgbClr val="808000"/>
        </a:solidFill>
        <a:ln w="9525">
          <a:solidFill>
            <a:srgbClr val="993366"/>
          </a:solidFill>
          <a:miter lim="800000"/>
          <a:headEnd/>
          <a:tailEnd/>
        </a:ln>
      </xdr:spPr>
      <xdr:txBody>
        <a:bodyPr vertOverflow="clip" wrap="square" lIns="27432" tIns="22860" rIns="0" bIns="0" anchor="t" upright="1"/>
        <a:lstStyle/>
        <a:p>
          <a:pPr algn="l" rtl="0">
            <a:defRPr sz="1000"/>
          </a:pPr>
          <a:r>
            <a:rPr lang="en-IN" sz="1000" b="0" i="0" u="none" strike="noStrike" baseline="0">
              <a:solidFill>
                <a:srgbClr val="FF0000"/>
              </a:solidFill>
              <a:latin typeface="Arial"/>
              <a:cs typeface="Arial"/>
            </a:rPr>
            <a:t>                                                               </a:t>
          </a:r>
          <a:r>
            <a:rPr lang="en-IN" sz="4200" b="0" i="0" u="none" strike="noStrike" baseline="0">
              <a:solidFill>
                <a:srgbClr val="FFFFFF"/>
              </a:solidFill>
              <a:latin typeface="Arial"/>
              <a:cs typeface="Arial"/>
            </a:rPr>
            <a:t>2008-09</a:t>
          </a:r>
          <a:endParaRPr lang="en-IN" sz="4000" b="0" i="0" u="none" strike="noStrike" baseline="0">
            <a:solidFill>
              <a:srgbClr val="FF0000"/>
            </a:solidFill>
            <a:latin typeface="Arial"/>
            <a:cs typeface="Arial"/>
          </a:endParaRPr>
        </a:p>
        <a:p>
          <a:pPr algn="l" rtl="0">
            <a:defRPr sz="1000"/>
          </a:pPr>
          <a:endParaRPr lang="en-IN" sz="1000" b="0" i="0" u="none" strike="noStrike" baseline="0">
            <a:solidFill>
              <a:srgbClr val="FF0000"/>
            </a:solidFill>
            <a:latin typeface="Arial"/>
            <a:cs typeface="Arial"/>
          </a:endParaRPr>
        </a:p>
        <a:p>
          <a:pPr algn="l" rtl="0">
            <a:defRPr sz="1000"/>
          </a:pPr>
          <a:endParaRPr lang="en-IN" sz="1000" b="0" i="0" u="none" strike="noStrike" baseline="0">
            <a:solidFill>
              <a:srgbClr val="FF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838200</xdr:colOff>
      <xdr:row>6</xdr:row>
      <xdr:rowOff>0</xdr:rowOff>
    </xdr:from>
    <xdr:to>
      <xdr:col>2</xdr:col>
      <xdr:colOff>38100</xdr:colOff>
      <xdr:row>7</xdr:row>
      <xdr:rowOff>161925</xdr:rowOff>
    </xdr:to>
    <xdr:sp macro="" textlink="">
      <xdr:nvSpPr>
        <xdr:cNvPr id="25925" name="AutoShape 1"/>
        <xdr:cNvSpPr>
          <a:spLocks/>
        </xdr:cNvSpPr>
      </xdr:nvSpPr>
      <xdr:spPr bwMode="auto">
        <a:xfrm flipH="1" flipV="1">
          <a:off x="1085850" y="1647825"/>
          <a:ext cx="133350" cy="361950"/>
        </a:xfrm>
        <a:prstGeom prst="leftBrace">
          <a:avLst>
            <a:gd name="adj1" fmla="val 22619"/>
            <a:gd name="adj2" fmla="val 50000"/>
          </a:avLst>
        </a:prstGeom>
        <a:noFill/>
        <a:ln w="9525">
          <a:solidFill>
            <a:srgbClr val="000000"/>
          </a:solidFill>
          <a:round/>
          <a:headEnd/>
          <a:tailEnd/>
        </a:ln>
      </xdr:spPr>
    </xdr:sp>
    <xdr:clientData/>
  </xdr:twoCellAnchor>
  <xdr:twoCellAnchor>
    <xdr:from>
      <xdr:col>1</xdr:col>
      <xdr:colOff>752475</xdr:colOff>
      <xdr:row>8</xdr:row>
      <xdr:rowOff>28575</xdr:rowOff>
    </xdr:from>
    <xdr:to>
      <xdr:col>1</xdr:col>
      <xdr:colOff>828675</xdr:colOff>
      <xdr:row>10</xdr:row>
      <xdr:rowOff>0</xdr:rowOff>
    </xdr:to>
    <xdr:sp macro="" textlink="">
      <xdr:nvSpPr>
        <xdr:cNvPr id="25926" name="AutoShape 2"/>
        <xdr:cNvSpPr>
          <a:spLocks/>
        </xdr:cNvSpPr>
      </xdr:nvSpPr>
      <xdr:spPr bwMode="auto">
        <a:xfrm flipH="1" flipV="1">
          <a:off x="1000125" y="2047875"/>
          <a:ext cx="76200" cy="485775"/>
        </a:xfrm>
        <a:prstGeom prst="leftBrace">
          <a:avLst>
            <a:gd name="adj1" fmla="val 53125"/>
            <a:gd name="adj2" fmla="val 50000"/>
          </a:avLst>
        </a:prstGeom>
        <a:noFill/>
        <a:ln w="9525">
          <a:solidFill>
            <a:srgbClr val="000000"/>
          </a:solidFill>
          <a:round/>
          <a:headEnd/>
          <a:tailEnd/>
        </a:ln>
      </xdr:spPr>
    </xdr:sp>
    <xdr:clientData/>
  </xdr:twoCellAnchor>
  <xdr:twoCellAnchor>
    <xdr:from>
      <xdr:col>1</xdr:col>
      <xdr:colOff>657225</xdr:colOff>
      <xdr:row>10</xdr:row>
      <xdr:rowOff>28575</xdr:rowOff>
    </xdr:from>
    <xdr:to>
      <xdr:col>1</xdr:col>
      <xdr:colOff>733425</xdr:colOff>
      <xdr:row>12</xdr:row>
      <xdr:rowOff>9525</xdr:rowOff>
    </xdr:to>
    <xdr:sp macro="" textlink="">
      <xdr:nvSpPr>
        <xdr:cNvPr id="25927" name="AutoShape 3"/>
        <xdr:cNvSpPr>
          <a:spLocks/>
        </xdr:cNvSpPr>
      </xdr:nvSpPr>
      <xdr:spPr bwMode="auto">
        <a:xfrm flipH="1" flipV="1">
          <a:off x="904875" y="2562225"/>
          <a:ext cx="76200" cy="323850"/>
        </a:xfrm>
        <a:prstGeom prst="leftBrace">
          <a:avLst>
            <a:gd name="adj1" fmla="val 35417"/>
            <a:gd name="adj2" fmla="val 50000"/>
          </a:avLst>
        </a:prstGeom>
        <a:noFill/>
        <a:ln w="9525">
          <a:solidFill>
            <a:srgbClr val="000000"/>
          </a:solidFill>
          <a:round/>
          <a:headEnd/>
          <a:tailEnd/>
        </a:ln>
      </xdr:spPr>
    </xdr:sp>
    <xdr:clientData/>
  </xdr:twoCellAnchor>
  <xdr:twoCellAnchor>
    <xdr:from>
      <xdr:col>1</xdr:col>
      <xdr:colOff>714375</xdr:colOff>
      <xdr:row>12</xdr:row>
      <xdr:rowOff>19050</xdr:rowOff>
    </xdr:from>
    <xdr:to>
      <xdr:col>1</xdr:col>
      <xdr:colOff>809625</xdr:colOff>
      <xdr:row>13</xdr:row>
      <xdr:rowOff>161925</xdr:rowOff>
    </xdr:to>
    <xdr:sp macro="" textlink="">
      <xdr:nvSpPr>
        <xdr:cNvPr id="25928" name="AutoShape 4"/>
        <xdr:cNvSpPr>
          <a:spLocks/>
        </xdr:cNvSpPr>
      </xdr:nvSpPr>
      <xdr:spPr bwMode="auto">
        <a:xfrm flipH="1" flipV="1">
          <a:off x="962025" y="2895600"/>
          <a:ext cx="95250" cy="314325"/>
        </a:xfrm>
        <a:prstGeom prst="leftBrace">
          <a:avLst>
            <a:gd name="adj1" fmla="val 27500"/>
            <a:gd name="adj2" fmla="val 50000"/>
          </a:avLst>
        </a:prstGeom>
        <a:noFill/>
        <a:ln w="9525">
          <a:solidFill>
            <a:srgbClr val="000000"/>
          </a:solidFill>
          <a:round/>
          <a:headEnd/>
          <a:tailEnd/>
        </a:ln>
      </xdr:spPr>
    </xdr:sp>
    <xdr:clientData/>
  </xdr:twoCellAnchor>
  <xdr:twoCellAnchor>
    <xdr:from>
      <xdr:col>1</xdr:col>
      <xdr:colOff>790575</xdr:colOff>
      <xdr:row>14</xdr:row>
      <xdr:rowOff>19050</xdr:rowOff>
    </xdr:from>
    <xdr:to>
      <xdr:col>2</xdr:col>
      <xdr:colOff>0</xdr:colOff>
      <xdr:row>16</xdr:row>
      <xdr:rowOff>0</xdr:rowOff>
    </xdr:to>
    <xdr:sp macro="" textlink="">
      <xdr:nvSpPr>
        <xdr:cNvPr id="25929" name="AutoShape 5"/>
        <xdr:cNvSpPr>
          <a:spLocks/>
        </xdr:cNvSpPr>
      </xdr:nvSpPr>
      <xdr:spPr bwMode="auto">
        <a:xfrm flipH="1" flipV="1">
          <a:off x="1038225" y="3238500"/>
          <a:ext cx="142875" cy="600075"/>
        </a:xfrm>
        <a:prstGeom prst="leftBrace">
          <a:avLst>
            <a:gd name="adj1" fmla="val 35000"/>
            <a:gd name="adj2" fmla="val 50000"/>
          </a:avLst>
        </a:prstGeom>
        <a:noFill/>
        <a:ln w="9525">
          <a:solidFill>
            <a:srgbClr val="000000"/>
          </a:solidFill>
          <a:round/>
          <a:headEnd/>
          <a:tailEnd/>
        </a:ln>
      </xdr:spPr>
    </xdr:sp>
    <xdr:clientData/>
  </xdr:twoCellAnchor>
  <xdr:twoCellAnchor>
    <xdr:from>
      <xdr:col>1</xdr:col>
      <xdr:colOff>714375</xdr:colOff>
      <xdr:row>16</xdr:row>
      <xdr:rowOff>28575</xdr:rowOff>
    </xdr:from>
    <xdr:to>
      <xdr:col>1</xdr:col>
      <xdr:colOff>771525</xdr:colOff>
      <xdr:row>17</xdr:row>
      <xdr:rowOff>161925</xdr:rowOff>
    </xdr:to>
    <xdr:sp macro="" textlink="">
      <xdr:nvSpPr>
        <xdr:cNvPr id="25930" name="AutoShape 6"/>
        <xdr:cNvSpPr>
          <a:spLocks/>
        </xdr:cNvSpPr>
      </xdr:nvSpPr>
      <xdr:spPr bwMode="auto">
        <a:xfrm flipH="1" flipV="1">
          <a:off x="962025" y="3867150"/>
          <a:ext cx="57150" cy="333375"/>
        </a:xfrm>
        <a:prstGeom prst="leftBrace">
          <a:avLst>
            <a:gd name="adj1" fmla="val 48611"/>
            <a:gd name="adj2" fmla="val 50000"/>
          </a:avLst>
        </a:prstGeom>
        <a:noFill/>
        <a:ln w="9525">
          <a:solidFill>
            <a:srgbClr val="000000"/>
          </a:solidFill>
          <a:round/>
          <a:headEnd/>
          <a:tailEnd/>
        </a:ln>
      </xdr:spPr>
    </xdr:sp>
    <xdr:clientData/>
  </xdr:twoCellAnchor>
  <xdr:twoCellAnchor>
    <xdr:from>
      <xdr:col>1</xdr:col>
      <xdr:colOff>704850</xdr:colOff>
      <xdr:row>18</xdr:row>
      <xdr:rowOff>19050</xdr:rowOff>
    </xdr:from>
    <xdr:to>
      <xdr:col>1</xdr:col>
      <xdr:colOff>800100</xdr:colOff>
      <xdr:row>19</xdr:row>
      <xdr:rowOff>152400</xdr:rowOff>
    </xdr:to>
    <xdr:sp macro="" textlink="">
      <xdr:nvSpPr>
        <xdr:cNvPr id="25931" name="AutoShape 7"/>
        <xdr:cNvSpPr>
          <a:spLocks/>
        </xdr:cNvSpPr>
      </xdr:nvSpPr>
      <xdr:spPr bwMode="auto">
        <a:xfrm flipH="1" flipV="1">
          <a:off x="952500" y="4229100"/>
          <a:ext cx="95250" cy="304800"/>
        </a:xfrm>
        <a:prstGeom prst="leftBrace">
          <a:avLst>
            <a:gd name="adj1" fmla="val 26667"/>
            <a:gd name="adj2" fmla="val 50000"/>
          </a:avLst>
        </a:prstGeom>
        <a:noFill/>
        <a:ln w="9525">
          <a:solidFill>
            <a:srgbClr val="000000"/>
          </a:solidFill>
          <a:round/>
          <a:headEnd/>
          <a:tailEnd/>
        </a:ln>
      </xdr:spPr>
    </xdr:sp>
    <xdr:clientData/>
  </xdr:twoCellAnchor>
  <xdr:twoCellAnchor>
    <xdr:from>
      <xdr:col>1</xdr:col>
      <xdr:colOff>723900</xdr:colOff>
      <xdr:row>20</xdr:row>
      <xdr:rowOff>19050</xdr:rowOff>
    </xdr:from>
    <xdr:to>
      <xdr:col>1</xdr:col>
      <xdr:colOff>781050</xdr:colOff>
      <xdr:row>21</xdr:row>
      <xdr:rowOff>142875</xdr:rowOff>
    </xdr:to>
    <xdr:sp macro="" textlink="">
      <xdr:nvSpPr>
        <xdr:cNvPr id="25932" name="AutoShape 8"/>
        <xdr:cNvSpPr>
          <a:spLocks/>
        </xdr:cNvSpPr>
      </xdr:nvSpPr>
      <xdr:spPr bwMode="auto">
        <a:xfrm flipH="1" flipV="1">
          <a:off x="971550" y="4572000"/>
          <a:ext cx="57150" cy="295275"/>
        </a:xfrm>
        <a:prstGeom prst="leftBrace">
          <a:avLst>
            <a:gd name="adj1" fmla="val 43056"/>
            <a:gd name="adj2" fmla="val 50000"/>
          </a:avLst>
        </a:prstGeom>
        <a:noFill/>
        <a:ln w="9525">
          <a:solidFill>
            <a:srgbClr val="000000"/>
          </a:solidFill>
          <a:round/>
          <a:headEnd/>
          <a:tailEnd/>
        </a:ln>
      </xdr:spPr>
    </xdr:sp>
    <xdr:clientData/>
  </xdr:twoCellAnchor>
  <xdr:twoCellAnchor>
    <xdr:from>
      <xdr:col>1</xdr:col>
      <xdr:colOff>847725</xdr:colOff>
      <xdr:row>22</xdr:row>
      <xdr:rowOff>19050</xdr:rowOff>
    </xdr:from>
    <xdr:to>
      <xdr:col>1</xdr:col>
      <xdr:colOff>885825</xdr:colOff>
      <xdr:row>23</xdr:row>
      <xdr:rowOff>161925</xdr:rowOff>
    </xdr:to>
    <xdr:sp macro="" textlink="">
      <xdr:nvSpPr>
        <xdr:cNvPr id="25933" name="AutoShape 9"/>
        <xdr:cNvSpPr>
          <a:spLocks/>
        </xdr:cNvSpPr>
      </xdr:nvSpPr>
      <xdr:spPr bwMode="auto">
        <a:xfrm flipH="1" flipV="1">
          <a:off x="1095375" y="4914900"/>
          <a:ext cx="38100" cy="314325"/>
        </a:xfrm>
        <a:prstGeom prst="leftBrace">
          <a:avLst>
            <a:gd name="adj1" fmla="val 68750"/>
            <a:gd name="adj2" fmla="val 50000"/>
          </a:avLst>
        </a:prstGeom>
        <a:noFill/>
        <a:ln w="9525">
          <a:solidFill>
            <a:srgbClr val="000000"/>
          </a:solidFill>
          <a:round/>
          <a:headEnd/>
          <a:tailEnd/>
        </a:ln>
      </xdr:spPr>
    </xdr:sp>
    <xdr:clientData/>
  </xdr:twoCellAnchor>
  <xdr:twoCellAnchor>
    <xdr:from>
      <xdr:col>1</xdr:col>
      <xdr:colOff>800100</xdr:colOff>
      <xdr:row>24</xdr:row>
      <xdr:rowOff>19050</xdr:rowOff>
    </xdr:from>
    <xdr:to>
      <xdr:col>1</xdr:col>
      <xdr:colOff>838200</xdr:colOff>
      <xdr:row>25</xdr:row>
      <xdr:rowOff>152400</xdr:rowOff>
    </xdr:to>
    <xdr:sp macro="" textlink="">
      <xdr:nvSpPr>
        <xdr:cNvPr id="25934" name="AutoShape 10"/>
        <xdr:cNvSpPr>
          <a:spLocks/>
        </xdr:cNvSpPr>
      </xdr:nvSpPr>
      <xdr:spPr bwMode="auto">
        <a:xfrm flipH="1" flipV="1">
          <a:off x="1047750" y="5257800"/>
          <a:ext cx="38100" cy="304800"/>
        </a:xfrm>
        <a:prstGeom prst="leftBrace">
          <a:avLst>
            <a:gd name="adj1" fmla="val 66667"/>
            <a:gd name="adj2" fmla="val 50000"/>
          </a:avLst>
        </a:prstGeom>
        <a:noFill/>
        <a:ln w="9525">
          <a:solidFill>
            <a:srgbClr val="000000"/>
          </a:solidFill>
          <a:round/>
          <a:headEnd/>
          <a:tailEnd/>
        </a:ln>
      </xdr:spPr>
    </xdr:sp>
    <xdr:clientData/>
  </xdr:twoCellAnchor>
  <xdr:twoCellAnchor>
    <xdr:from>
      <xdr:col>1</xdr:col>
      <xdr:colOff>733425</xdr:colOff>
      <xdr:row>26</xdr:row>
      <xdr:rowOff>19050</xdr:rowOff>
    </xdr:from>
    <xdr:to>
      <xdr:col>1</xdr:col>
      <xdr:colOff>771525</xdr:colOff>
      <xdr:row>28</xdr:row>
      <xdr:rowOff>0</xdr:rowOff>
    </xdr:to>
    <xdr:sp macro="" textlink="">
      <xdr:nvSpPr>
        <xdr:cNvPr id="25935" name="AutoShape 11"/>
        <xdr:cNvSpPr>
          <a:spLocks/>
        </xdr:cNvSpPr>
      </xdr:nvSpPr>
      <xdr:spPr bwMode="auto">
        <a:xfrm flipH="1" flipV="1">
          <a:off x="981075" y="5610225"/>
          <a:ext cx="38100" cy="342900"/>
        </a:xfrm>
        <a:prstGeom prst="leftBrace">
          <a:avLst>
            <a:gd name="adj1" fmla="val 75000"/>
            <a:gd name="adj2" fmla="val 50000"/>
          </a:avLst>
        </a:prstGeom>
        <a:noFill/>
        <a:ln w="9525">
          <a:solidFill>
            <a:srgbClr val="000000"/>
          </a:solidFill>
          <a:round/>
          <a:headEnd/>
          <a:tailEnd/>
        </a:ln>
      </xdr:spPr>
    </xdr:sp>
    <xdr:clientData/>
  </xdr:twoCellAnchor>
  <xdr:twoCellAnchor>
    <xdr:from>
      <xdr:col>1</xdr:col>
      <xdr:colOff>685800</xdr:colOff>
      <xdr:row>28</xdr:row>
      <xdr:rowOff>19050</xdr:rowOff>
    </xdr:from>
    <xdr:to>
      <xdr:col>1</xdr:col>
      <xdr:colOff>838200</xdr:colOff>
      <xdr:row>30</xdr:row>
      <xdr:rowOff>0</xdr:rowOff>
    </xdr:to>
    <xdr:sp macro="" textlink="">
      <xdr:nvSpPr>
        <xdr:cNvPr id="25936" name="AutoShape 12"/>
        <xdr:cNvSpPr>
          <a:spLocks/>
        </xdr:cNvSpPr>
      </xdr:nvSpPr>
      <xdr:spPr bwMode="auto">
        <a:xfrm flipH="1" flipV="1">
          <a:off x="933450" y="5972175"/>
          <a:ext cx="152400" cy="619125"/>
        </a:xfrm>
        <a:prstGeom prst="leftBrace">
          <a:avLst>
            <a:gd name="adj1" fmla="val 33854"/>
            <a:gd name="adj2"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838200</xdr:colOff>
      <xdr:row>5</xdr:row>
      <xdr:rowOff>19050</xdr:rowOff>
    </xdr:from>
    <xdr:to>
      <xdr:col>3</xdr:col>
      <xdr:colOff>0</xdr:colOff>
      <xdr:row>7</xdr:row>
      <xdr:rowOff>0</xdr:rowOff>
    </xdr:to>
    <xdr:sp macro="" textlink="">
      <xdr:nvSpPr>
        <xdr:cNvPr id="8535" name="AutoShape 17"/>
        <xdr:cNvSpPr>
          <a:spLocks/>
        </xdr:cNvSpPr>
      </xdr:nvSpPr>
      <xdr:spPr bwMode="auto">
        <a:xfrm flipH="1" flipV="1">
          <a:off x="1047750" y="1647825"/>
          <a:ext cx="57150" cy="361950"/>
        </a:xfrm>
        <a:prstGeom prst="leftBrace">
          <a:avLst>
            <a:gd name="adj1" fmla="val 52778"/>
            <a:gd name="adj2" fmla="val 50000"/>
          </a:avLst>
        </a:prstGeom>
        <a:noFill/>
        <a:ln w="9525">
          <a:solidFill>
            <a:srgbClr val="000000"/>
          </a:solidFill>
          <a:round/>
          <a:headEnd/>
          <a:tailEnd/>
        </a:ln>
      </xdr:spPr>
    </xdr:sp>
    <xdr:clientData/>
  </xdr:twoCellAnchor>
  <xdr:twoCellAnchor>
    <xdr:from>
      <xdr:col>2</xdr:col>
      <xdr:colOff>838200</xdr:colOff>
      <xdr:row>7</xdr:row>
      <xdr:rowOff>28575</xdr:rowOff>
    </xdr:from>
    <xdr:to>
      <xdr:col>2</xdr:col>
      <xdr:colOff>914400</xdr:colOff>
      <xdr:row>9</xdr:row>
      <xdr:rowOff>0</xdr:rowOff>
    </xdr:to>
    <xdr:sp macro="" textlink="">
      <xdr:nvSpPr>
        <xdr:cNvPr id="8536" name="AutoShape 18"/>
        <xdr:cNvSpPr>
          <a:spLocks/>
        </xdr:cNvSpPr>
      </xdr:nvSpPr>
      <xdr:spPr bwMode="auto">
        <a:xfrm flipH="1" flipV="1">
          <a:off x="1047750" y="2038350"/>
          <a:ext cx="57150" cy="447675"/>
        </a:xfrm>
        <a:prstGeom prst="leftBrace">
          <a:avLst>
            <a:gd name="adj1" fmla="val 65278"/>
            <a:gd name="adj2" fmla="val 50000"/>
          </a:avLst>
        </a:prstGeom>
        <a:noFill/>
        <a:ln w="9525">
          <a:solidFill>
            <a:srgbClr val="000000"/>
          </a:solidFill>
          <a:round/>
          <a:headEnd/>
          <a:tailEnd/>
        </a:ln>
      </xdr:spPr>
    </xdr:sp>
    <xdr:clientData/>
  </xdr:twoCellAnchor>
  <xdr:twoCellAnchor>
    <xdr:from>
      <xdr:col>2</xdr:col>
      <xdr:colOff>838200</xdr:colOff>
      <xdr:row>9</xdr:row>
      <xdr:rowOff>28575</xdr:rowOff>
    </xdr:from>
    <xdr:to>
      <xdr:col>2</xdr:col>
      <xdr:colOff>914400</xdr:colOff>
      <xdr:row>11</xdr:row>
      <xdr:rowOff>9525</xdr:rowOff>
    </xdr:to>
    <xdr:sp macro="" textlink="">
      <xdr:nvSpPr>
        <xdr:cNvPr id="8537" name="AutoShape 19"/>
        <xdr:cNvSpPr>
          <a:spLocks/>
        </xdr:cNvSpPr>
      </xdr:nvSpPr>
      <xdr:spPr bwMode="auto">
        <a:xfrm flipH="1" flipV="1">
          <a:off x="1047750" y="2514600"/>
          <a:ext cx="57150" cy="361950"/>
        </a:xfrm>
        <a:prstGeom prst="leftBrace">
          <a:avLst>
            <a:gd name="adj1" fmla="val 52778"/>
            <a:gd name="adj2" fmla="val 50000"/>
          </a:avLst>
        </a:prstGeom>
        <a:noFill/>
        <a:ln w="9525">
          <a:solidFill>
            <a:srgbClr val="000000"/>
          </a:solidFill>
          <a:round/>
          <a:headEnd/>
          <a:tailEnd/>
        </a:ln>
      </xdr:spPr>
    </xdr:sp>
    <xdr:clientData/>
  </xdr:twoCellAnchor>
  <xdr:twoCellAnchor>
    <xdr:from>
      <xdr:col>2</xdr:col>
      <xdr:colOff>838200</xdr:colOff>
      <xdr:row>11</xdr:row>
      <xdr:rowOff>19050</xdr:rowOff>
    </xdr:from>
    <xdr:to>
      <xdr:col>2</xdr:col>
      <xdr:colOff>933450</xdr:colOff>
      <xdr:row>12</xdr:row>
      <xdr:rowOff>161925</xdr:rowOff>
    </xdr:to>
    <xdr:sp macro="" textlink="">
      <xdr:nvSpPr>
        <xdr:cNvPr id="8538" name="AutoShape 20"/>
        <xdr:cNvSpPr>
          <a:spLocks/>
        </xdr:cNvSpPr>
      </xdr:nvSpPr>
      <xdr:spPr bwMode="auto">
        <a:xfrm flipH="1" flipV="1">
          <a:off x="1047750" y="2886075"/>
          <a:ext cx="57150" cy="333375"/>
        </a:xfrm>
        <a:prstGeom prst="leftBrace">
          <a:avLst>
            <a:gd name="adj1" fmla="val 48611"/>
            <a:gd name="adj2" fmla="val 50000"/>
          </a:avLst>
        </a:prstGeom>
        <a:noFill/>
        <a:ln w="9525">
          <a:solidFill>
            <a:srgbClr val="000000"/>
          </a:solidFill>
          <a:round/>
          <a:headEnd/>
          <a:tailEnd/>
        </a:ln>
      </xdr:spPr>
    </xdr:sp>
    <xdr:clientData/>
  </xdr:twoCellAnchor>
  <xdr:twoCellAnchor>
    <xdr:from>
      <xdr:col>2</xdr:col>
      <xdr:colOff>847725</xdr:colOff>
      <xdr:row>13</xdr:row>
      <xdr:rowOff>19050</xdr:rowOff>
    </xdr:from>
    <xdr:to>
      <xdr:col>3</xdr:col>
      <xdr:colOff>0</xdr:colOff>
      <xdr:row>14</xdr:row>
      <xdr:rowOff>342900</xdr:rowOff>
    </xdr:to>
    <xdr:sp macro="" textlink="">
      <xdr:nvSpPr>
        <xdr:cNvPr id="8539" name="AutoShape 21"/>
        <xdr:cNvSpPr>
          <a:spLocks/>
        </xdr:cNvSpPr>
      </xdr:nvSpPr>
      <xdr:spPr bwMode="auto">
        <a:xfrm flipH="1" flipV="1">
          <a:off x="1057275" y="3267075"/>
          <a:ext cx="47625" cy="590550"/>
        </a:xfrm>
        <a:prstGeom prst="leftBrace">
          <a:avLst>
            <a:gd name="adj1" fmla="val 103333"/>
            <a:gd name="adj2" fmla="val 50000"/>
          </a:avLst>
        </a:prstGeom>
        <a:noFill/>
        <a:ln w="9525">
          <a:solidFill>
            <a:srgbClr val="000000"/>
          </a:solidFill>
          <a:round/>
          <a:headEnd/>
          <a:tailEnd/>
        </a:ln>
      </xdr:spPr>
    </xdr:sp>
    <xdr:clientData/>
  </xdr:twoCellAnchor>
  <xdr:twoCellAnchor>
    <xdr:from>
      <xdr:col>2</xdr:col>
      <xdr:colOff>847725</xdr:colOff>
      <xdr:row>15</xdr:row>
      <xdr:rowOff>19050</xdr:rowOff>
    </xdr:from>
    <xdr:to>
      <xdr:col>2</xdr:col>
      <xdr:colOff>904875</xdr:colOff>
      <xdr:row>16</xdr:row>
      <xdr:rowOff>152400</xdr:rowOff>
    </xdr:to>
    <xdr:sp macro="" textlink="">
      <xdr:nvSpPr>
        <xdr:cNvPr id="8540" name="AutoShape 22"/>
        <xdr:cNvSpPr>
          <a:spLocks/>
        </xdr:cNvSpPr>
      </xdr:nvSpPr>
      <xdr:spPr bwMode="auto">
        <a:xfrm flipH="1" flipV="1">
          <a:off x="1057275" y="3876675"/>
          <a:ext cx="47625" cy="323850"/>
        </a:xfrm>
        <a:prstGeom prst="leftBrace">
          <a:avLst>
            <a:gd name="adj1" fmla="val 56667"/>
            <a:gd name="adj2" fmla="val 50000"/>
          </a:avLst>
        </a:prstGeom>
        <a:noFill/>
        <a:ln w="9525">
          <a:solidFill>
            <a:srgbClr val="000000"/>
          </a:solidFill>
          <a:round/>
          <a:headEnd/>
          <a:tailEnd/>
        </a:ln>
      </xdr:spPr>
    </xdr:sp>
    <xdr:clientData/>
  </xdr:twoCellAnchor>
  <xdr:twoCellAnchor>
    <xdr:from>
      <xdr:col>2</xdr:col>
      <xdr:colOff>847725</xdr:colOff>
      <xdr:row>17</xdr:row>
      <xdr:rowOff>19050</xdr:rowOff>
    </xdr:from>
    <xdr:to>
      <xdr:col>2</xdr:col>
      <xdr:colOff>942975</xdr:colOff>
      <xdr:row>18</xdr:row>
      <xdr:rowOff>152400</xdr:rowOff>
    </xdr:to>
    <xdr:sp macro="" textlink="">
      <xdr:nvSpPr>
        <xdr:cNvPr id="8541" name="AutoShape 23"/>
        <xdr:cNvSpPr>
          <a:spLocks/>
        </xdr:cNvSpPr>
      </xdr:nvSpPr>
      <xdr:spPr bwMode="auto">
        <a:xfrm flipH="1" flipV="1">
          <a:off x="1057275" y="4257675"/>
          <a:ext cx="47625" cy="323850"/>
        </a:xfrm>
        <a:prstGeom prst="leftBrace">
          <a:avLst>
            <a:gd name="adj1" fmla="val 56667"/>
            <a:gd name="adj2" fmla="val 50000"/>
          </a:avLst>
        </a:prstGeom>
        <a:noFill/>
        <a:ln w="9525">
          <a:solidFill>
            <a:srgbClr val="000000"/>
          </a:solidFill>
          <a:round/>
          <a:headEnd/>
          <a:tailEnd/>
        </a:ln>
      </xdr:spPr>
    </xdr:sp>
    <xdr:clientData/>
  </xdr:twoCellAnchor>
  <xdr:twoCellAnchor>
    <xdr:from>
      <xdr:col>2</xdr:col>
      <xdr:colOff>847725</xdr:colOff>
      <xdr:row>19</xdr:row>
      <xdr:rowOff>19050</xdr:rowOff>
    </xdr:from>
    <xdr:to>
      <xdr:col>2</xdr:col>
      <xdr:colOff>904875</xdr:colOff>
      <xdr:row>20</xdr:row>
      <xdr:rowOff>142875</xdr:rowOff>
    </xdr:to>
    <xdr:sp macro="" textlink="">
      <xdr:nvSpPr>
        <xdr:cNvPr id="8542" name="AutoShape 24"/>
        <xdr:cNvSpPr>
          <a:spLocks/>
        </xdr:cNvSpPr>
      </xdr:nvSpPr>
      <xdr:spPr bwMode="auto">
        <a:xfrm flipH="1" flipV="1">
          <a:off x="1057275" y="4638675"/>
          <a:ext cx="47625" cy="314325"/>
        </a:xfrm>
        <a:prstGeom prst="leftBrace">
          <a:avLst>
            <a:gd name="adj1" fmla="val 55000"/>
            <a:gd name="adj2" fmla="val 50000"/>
          </a:avLst>
        </a:prstGeom>
        <a:noFill/>
        <a:ln w="9525">
          <a:solidFill>
            <a:srgbClr val="000000"/>
          </a:solidFill>
          <a:round/>
          <a:headEnd/>
          <a:tailEnd/>
        </a:ln>
      </xdr:spPr>
    </xdr:sp>
    <xdr:clientData/>
  </xdr:twoCellAnchor>
  <xdr:twoCellAnchor>
    <xdr:from>
      <xdr:col>2</xdr:col>
      <xdr:colOff>847725</xdr:colOff>
      <xdr:row>21</xdr:row>
      <xdr:rowOff>19050</xdr:rowOff>
    </xdr:from>
    <xdr:to>
      <xdr:col>2</xdr:col>
      <xdr:colOff>885825</xdr:colOff>
      <xdr:row>22</xdr:row>
      <xdr:rowOff>161925</xdr:rowOff>
    </xdr:to>
    <xdr:sp macro="" textlink="">
      <xdr:nvSpPr>
        <xdr:cNvPr id="8543" name="AutoShape 25"/>
        <xdr:cNvSpPr>
          <a:spLocks/>
        </xdr:cNvSpPr>
      </xdr:nvSpPr>
      <xdr:spPr bwMode="auto">
        <a:xfrm flipH="1" flipV="1">
          <a:off x="1057275" y="5019675"/>
          <a:ext cx="38100" cy="333375"/>
        </a:xfrm>
        <a:prstGeom prst="leftBrace">
          <a:avLst>
            <a:gd name="adj1" fmla="val 72917"/>
            <a:gd name="adj2" fmla="val 50000"/>
          </a:avLst>
        </a:prstGeom>
        <a:noFill/>
        <a:ln w="9525">
          <a:solidFill>
            <a:srgbClr val="000000"/>
          </a:solidFill>
          <a:round/>
          <a:headEnd/>
          <a:tailEnd/>
        </a:ln>
      </xdr:spPr>
    </xdr:sp>
    <xdr:clientData/>
  </xdr:twoCellAnchor>
  <xdr:twoCellAnchor>
    <xdr:from>
      <xdr:col>2</xdr:col>
      <xdr:colOff>847725</xdr:colOff>
      <xdr:row>23</xdr:row>
      <xdr:rowOff>19050</xdr:rowOff>
    </xdr:from>
    <xdr:to>
      <xdr:col>2</xdr:col>
      <xdr:colOff>885825</xdr:colOff>
      <xdr:row>24</xdr:row>
      <xdr:rowOff>152400</xdr:rowOff>
    </xdr:to>
    <xdr:sp macro="" textlink="">
      <xdr:nvSpPr>
        <xdr:cNvPr id="8544" name="AutoShape 26"/>
        <xdr:cNvSpPr>
          <a:spLocks/>
        </xdr:cNvSpPr>
      </xdr:nvSpPr>
      <xdr:spPr bwMode="auto">
        <a:xfrm flipH="1" flipV="1">
          <a:off x="1057275" y="5400675"/>
          <a:ext cx="38100" cy="323850"/>
        </a:xfrm>
        <a:prstGeom prst="leftBrace">
          <a:avLst>
            <a:gd name="adj1" fmla="val 70833"/>
            <a:gd name="adj2" fmla="val 50000"/>
          </a:avLst>
        </a:prstGeom>
        <a:noFill/>
        <a:ln w="9525">
          <a:solidFill>
            <a:srgbClr val="000000"/>
          </a:solidFill>
          <a:round/>
          <a:headEnd/>
          <a:tailEnd/>
        </a:ln>
      </xdr:spPr>
    </xdr:sp>
    <xdr:clientData/>
  </xdr:twoCellAnchor>
  <xdr:twoCellAnchor>
    <xdr:from>
      <xdr:col>2</xdr:col>
      <xdr:colOff>847725</xdr:colOff>
      <xdr:row>25</xdr:row>
      <xdr:rowOff>19050</xdr:rowOff>
    </xdr:from>
    <xdr:to>
      <xdr:col>2</xdr:col>
      <xdr:colOff>885825</xdr:colOff>
      <xdr:row>27</xdr:row>
      <xdr:rowOff>0</xdr:rowOff>
    </xdr:to>
    <xdr:sp macro="" textlink="">
      <xdr:nvSpPr>
        <xdr:cNvPr id="8545" name="AutoShape 27"/>
        <xdr:cNvSpPr>
          <a:spLocks/>
        </xdr:cNvSpPr>
      </xdr:nvSpPr>
      <xdr:spPr bwMode="auto">
        <a:xfrm flipH="1" flipV="1">
          <a:off x="1057275" y="5781675"/>
          <a:ext cx="38100" cy="361950"/>
        </a:xfrm>
        <a:prstGeom prst="leftBrace">
          <a:avLst>
            <a:gd name="adj1" fmla="val 79167"/>
            <a:gd name="adj2" fmla="val 50000"/>
          </a:avLst>
        </a:prstGeom>
        <a:noFill/>
        <a:ln w="9525">
          <a:solidFill>
            <a:srgbClr val="000000"/>
          </a:solidFill>
          <a:round/>
          <a:headEnd/>
          <a:tailEnd/>
        </a:ln>
      </xdr:spPr>
    </xdr:sp>
    <xdr:clientData/>
  </xdr:twoCellAnchor>
  <xdr:twoCellAnchor>
    <xdr:from>
      <xdr:col>2</xdr:col>
      <xdr:colOff>838200</xdr:colOff>
      <xdr:row>27</xdr:row>
      <xdr:rowOff>19050</xdr:rowOff>
    </xdr:from>
    <xdr:to>
      <xdr:col>3</xdr:col>
      <xdr:colOff>0</xdr:colOff>
      <xdr:row>29</xdr:row>
      <xdr:rowOff>0</xdr:rowOff>
    </xdr:to>
    <xdr:sp macro="" textlink="">
      <xdr:nvSpPr>
        <xdr:cNvPr id="8546" name="AutoShape 28"/>
        <xdr:cNvSpPr>
          <a:spLocks/>
        </xdr:cNvSpPr>
      </xdr:nvSpPr>
      <xdr:spPr bwMode="auto">
        <a:xfrm flipH="1" flipV="1">
          <a:off x="1047750" y="6162675"/>
          <a:ext cx="57150" cy="571500"/>
        </a:xfrm>
        <a:prstGeom prst="leftBrace">
          <a:avLst>
            <a:gd name="adj1" fmla="val 83333"/>
            <a:gd name="adj2" fmla="val 50000"/>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HANDBOOK%202013\PURULIA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ES/Desktop/HANDBOOK_2013/PURULIA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HANDBOOK_2009_NBO1\PURULIA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AES/Desktop/HandBook_2014_Prasanta/PURULIA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ANDBOOK_2009_NBO1/PURULIA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URULIA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HANDBOOK%202013\HANDBOOK_2009_NBO1\PURULIA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AES/Desktop/HANDBOOK_2013/HANDBOOK_2009_NBO1/PURULIA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AES/Desktop/HandBook_2014_Prasanta/HANDBOOK_2009_NBO1/PURULIA20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P"/>
      <sheetName val="Cover Page"/>
      <sheetName val="PREFACE"/>
      <sheetName val="Contents"/>
      <sheetName val="At a glance"/>
      <sheetName val="1.1,1.2"/>
      <sheetName val="1.3,1.4"/>
      <sheetName val="2.1"/>
      <sheetName val="2.1a,2.1b"/>
      <sheetName val="2.2"/>
      <sheetName val="2.3"/>
      <sheetName val="2.4a"/>
      <sheetName val="2.4b"/>
      <sheetName val="2.5a"/>
      <sheetName val="2.5b"/>
      <sheetName val="2.6"/>
      <sheetName val="2.7"/>
      <sheetName val="2.8"/>
      <sheetName val="2.9,2.10"/>
      <sheetName val="2.10a"/>
      <sheetName val="2.11"/>
      <sheetName val="3.1"/>
      <sheetName val="3.2"/>
      <sheetName val="3.2a"/>
      <sheetName val="3.3"/>
      <sheetName val="3.3a"/>
      <sheetName val="4.1a"/>
      <sheetName val="4.1b"/>
      <sheetName val="4.1c"/>
      <sheetName val="4.2a"/>
      <sheetName val="4.2b"/>
      <sheetName val="4.2c"/>
      <sheetName val="4.3a"/>
      <sheetName val="4.3b"/>
      <sheetName val="4.3c"/>
      <sheetName val="4.4"/>
      <sheetName val="4.5"/>
      <sheetName val="4.6"/>
      <sheetName val="4.7,4.8"/>
      <sheetName val="5.1"/>
      <sheetName val="5.1a,5.1b"/>
      <sheetName val="5.2"/>
      <sheetName val="5.3"/>
      <sheetName val="5.3a"/>
      <sheetName val="5.3b,5.3c"/>
      <sheetName val="5.3d"/>
      <sheetName val="5.4"/>
      <sheetName val="5.5,5.5a"/>
      <sheetName val="5.6,5.7,5.8"/>
      <sheetName val="6.1"/>
      <sheetName val="6.2"/>
      <sheetName val="7.1"/>
      <sheetName val="7.2,7.3"/>
      <sheetName val="8.1,8.2"/>
      <sheetName val="8.2a,8.3"/>
      <sheetName val="8.4,8.4a"/>
      <sheetName val="9.1"/>
      <sheetName val="9.2,9.2a,9.2b"/>
      <sheetName val="10.1,10.2"/>
      <sheetName val="10.3"/>
      <sheetName val="11.1"/>
      <sheetName val="11.1a,11.2"/>
      <sheetName val="11.3,11.4"/>
      <sheetName val="12.1,12.2"/>
      <sheetName val="12.3,12.4"/>
      <sheetName val="12.5,12.6,12.7"/>
      <sheetName val="13.1"/>
      <sheetName val="13.2,13.3"/>
      <sheetName val="14.1,14.2"/>
      <sheetName val="15.1"/>
      <sheetName val="15.2"/>
      <sheetName val="Block_Level"/>
      <sheetName val="16.1"/>
      <sheetName val="17.1"/>
      <sheetName val="17.2"/>
      <sheetName val="18.1"/>
      <sheetName val="18.2"/>
      <sheetName val="18.3"/>
      <sheetName val="19.1"/>
      <sheetName val="20.1"/>
      <sheetName val="20.2"/>
      <sheetName val="21.1"/>
      <sheetName val="21.2"/>
      <sheetName val="Check(Pop)"/>
      <sheetName val="Check(Agri.Lab)"/>
      <sheetName val="Check(Block)"/>
      <sheetName val="Distri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000000"/>
          </a:solid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000000"/>
          </a:solidFill>
          <a:prstDash val="solid"/>
          <a:round/>
          <a:headEnd type="none" w="med" len="med"/>
          <a:tailEnd type="none" w="med" len="med"/>
        </a:ln>
        <a:effectLst/>
        <a:scene3d>
          <a:camera prst="legacyObliqueRight"/>
          <a:lightRig rig="legacyHarsh3" dir="t"/>
        </a:scene3d>
        <a:sp3d extrusionH="100000" prstMaterial="legacyMatte">
          <a:bevelT w="13500" h="13500" prst="angle"/>
          <a:bevelB w="13500" h="13500" prst="angle"/>
          <a:extrusionClr>
            <a:srgbClr val="663300"/>
          </a:extrusionClr>
        </a:sp3d>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Microsoft_Office_Word_97_-_2003_Document1.doc"/><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dimension ref="A36:J58"/>
  <sheetViews>
    <sheetView tabSelected="1" workbookViewId="0">
      <selection activeCell="N8" sqref="N8"/>
    </sheetView>
  </sheetViews>
  <sheetFormatPr defaultRowHeight="12.75"/>
  <cols>
    <col min="10" max="10" width="9.85546875" customWidth="1"/>
  </cols>
  <sheetData>
    <row r="36" ht="27.75" customHeight="1"/>
    <row r="37" ht="12.75" customHeight="1"/>
    <row r="56" spans="1:10" ht="20.25">
      <c r="A56" s="1804" t="s">
        <v>1451</v>
      </c>
      <c r="B56" s="1804"/>
      <c r="C56" s="1804"/>
      <c r="D56" s="1804"/>
      <c r="E56" s="1804"/>
      <c r="F56" s="1804"/>
      <c r="G56" s="1804"/>
      <c r="H56" s="1804"/>
      <c r="I56" s="1804"/>
      <c r="J56" s="1804"/>
    </row>
    <row r="57" spans="1:10" ht="23.25">
      <c r="A57" s="1805" t="s">
        <v>1586</v>
      </c>
      <c r="B57" s="1805"/>
      <c r="C57" s="1805"/>
      <c r="D57" s="1805"/>
      <c r="E57" s="1805"/>
      <c r="F57" s="1805"/>
      <c r="G57" s="1805"/>
      <c r="H57" s="1805"/>
      <c r="I57" s="1805"/>
      <c r="J57" s="1805"/>
    </row>
    <row r="58" spans="1:10" ht="15.75">
      <c r="A58" s="1803" t="s">
        <v>1452</v>
      </c>
      <c r="B58" s="1803"/>
      <c r="C58" s="1803"/>
      <c r="D58" s="1803"/>
      <c r="E58" s="1803"/>
      <c r="F58" s="1803"/>
      <c r="G58" s="1803"/>
      <c r="H58" s="1803"/>
      <c r="I58" s="1803"/>
      <c r="J58" s="1803"/>
    </row>
  </sheetData>
  <mergeCells count="3">
    <mergeCell ref="A58:J58"/>
    <mergeCell ref="A56:J56"/>
    <mergeCell ref="A57:J57"/>
  </mergeCells>
  <phoneticPr fontId="0" type="noConversion"/>
  <printOptions horizontalCentered="1"/>
  <pageMargins left="0.55000000000000004" right="0.55000000000000004" top="0.5" bottom="0.5" header="0.5" footer="0.5"/>
  <pageSetup paperSize="9" orientation="portrait" horizontalDpi="4294967295" verticalDpi="144" r:id="rId1"/>
  <headerFooter alignWithMargins="0"/>
  <drawing r:id="rId2"/>
  <legacyDrawing r:id="rId3"/>
  <oleObjects>
    <oleObject progId="CorelDRAW.Graphic.9" shapeId="1028" r:id="rId4"/>
  </oleObjects>
</worksheet>
</file>

<file path=xl/worksheets/sheet10.xml><?xml version="1.0" encoding="utf-8"?>
<worksheet xmlns="http://schemas.openxmlformats.org/spreadsheetml/2006/main" xmlns:r="http://schemas.openxmlformats.org/officeDocument/2006/relationships">
  <sheetPr codeName="Sheet9"/>
  <dimension ref="A1:E56"/>
  <sheetViews>
    <sheetView workbookViewId="0">
      <selection activeCell="C3" sqref="C3"/>
    </sheetView>
  </sheetViews>
  <sheetFormatPr defaultRowHeight="12.75"/>
  <cols>
    <col min="1" max="1" width="23.85546875" customWidth="1"/>
    <col min="2" max="2" width="12.85546875" style="1" customWidth="1"/>
    <col min="3" max="3" width="14" style="1" customWidth="1"/>
    <col min="4" max="4" width="13.5703125" style="1" customWidth="1"/>
    <col min="5" max="5" width="18.5703125" style="20" customWidth="1"/>
  </cols>
  <sheetData>
    <row r="1" spans="1:5" ht="15.75" customHeight="1">
      <c r="A1" s="1888" t="s">
        <v>448</v>
      </c>
      <c r="B1" s="1888"/>
      <c r="C1" s="1888"/>
      <c r="D1" s="1888"/>
      <c r="E1" s="1888"/>
    </row>
    <row r="2" spans="1:5" ht="33" customHeight="1">
      <c r="A2" s="1887" t="str">
        <f>CONCATENATE("Area, Population and Density of Population 
in the district of ",District!$A$1,", 2011")</f>
        <v>Area, Population and Density of Population 
in the district of Purba Medinipur, 2011</v>
      </c>
      <c r="B2" s="1887"/>
      <c r="C2" s="1887"/>
      <c r="D2" s="1887"/>
      <c r="E2" s="1887"/>
    </row>
    <row r="3" spans="1:5" ht="48.75" customHeight="1">
      <c r="A3" s="362" t="s">
        <v>162</v>
      </c>
      <c r="B3" s="933" t="s">
        <v>638</v>
      </c>
      <c r="C3" s="858" t="s">
        <v>600</v>
      </c>
      <c r="D3" s="1256" t="s">
        <v>601</v>
      </c>
      <c r="E3" s="1257" t="s">
        <v>519</v>
      </c>
    </row>
    <row r="4" spans="1:5" ht="18" customHeight="1">
      <c r="A4" s="209" t="s">
        <v>955</v>
      </c>
      <c r="B4" s="135" t="s">
        <v>956</v>
      </c>
      <c r="C4" s="134" t="s">
        <v>957</v>
      </c>
      <c r="D4" s="134" t="s">
        <v>958</v>
      </c>
      <c r="E4" s="512" t="s">
        <v>959</v>
      </c>
    </row>
    <row r="5" spans="1:5" ht="18.75" customHeight="1">
      <c r="A5" s="527" t="s">
        <v>1267</v>
      </c>
      <c r="B5" s="1211">
        <f>SUM(B6:B14)</f>
        <v>1084.2999999999997</v>
      </c>
      <c r="C5" s="1212">
        <f>SUM(C6:C14)</f>
        <v>1791695</v>
      </c>
      <c r="D5" s="1213">
        <f>ROUND(C5/B5,0)</f>
        <v>1652</v>
      </c>
      <c r="E5" s="378">
        <f>ROUND(C5/$C$39*100,2)</f>
        <v>35.159999999999997</v>
      </c>
    </row>
    <row r="6" spans="1:5" ht="18.75" customHeight="1">
      <c r="A6" s="1214" t="s">
        <v>200</v>
      </c>
      <c r="B6" s="1215">
        <v>123.5</v>
      </c>
      <c r="C6" s="120">
        <v>217776</v>
      </c>
      <c r="D6" s="515">
        <f t="shared" ref="D6:D39" si="0">ROUND(C6/B6,0)</f>
        <v>1763</v>
      </c>
      <c r="E6" s="107">
        <f>ROUND(C6/$C$39*100,2)+0.01</f>
        <v>4.2799999999999994</v>
      </c>
    </row>
    <row r="7" spans="1:5" ht="18.75" customHeight="1">
      <c r="A7" s="1214" t="s">
        <v>1386</v>
      </c>
      <c r="B7" s="1215">
        <v>97.82</v>
      </c>
      <c r="C7" s="120">
        <v>199210</v>
      </c>
      <c r="D7" s="515">
        <f t="shared" si="0"/>
        <v>2036</v>
      </c>
      <c r="E7" s="107">
        <f t="shared" ref="E7:E14" si="1">ROUND(C7/$C$39*100,2)</f>
        <v>3.91</v>
      </c>
    </row>
    <row r="8" spans="1:5" ht="18.75" customHeight="1">
      <c r="A8" s="1214" t="s">
        <v>1388</v>
      </c>
      <c r="B8" s="1891">
        <v>246.92</v>
      </c>
      <c r="C8" s="120">
        <v>283303</v>
      </c>
      <c r="D8" s="1892">
        <f>ROUND((C8+C9)/B8,0)</f>
        <v>1382</v>
      </c>
      <c r="E8" s="107">
        <f t="shared" si="1"/>
        <v>5.56</v>
      </c>
    </row>
    <row r="9" spans="1:5" ht="18.75" customHeight="1">
      <c r="A9" s="1214" t="s">
        <v>1389</v>
      </c>
      <c r="B9" s="1891"/>
      <c r="C9" s="1">
        <v>57932</v>
      </c>
      <c r="D9" s="1892"/>
      <c r="E9" s="107">
        <f t="shared" si="1"/>
        <v>1.1399999999999999</v>
      </c>
    </row>
    <row r="10" spans="1:5" ht="18.75" customHeight="1">
      <c r="A10" s="1214" t="s">
        <v>1385</v>
      </c>
      <c r="B10" s="1215">
        <v>147.91</v>
      </c>
      <c r="C10" s="120">
        <v>290124</v>
      </c>
      <c r="D10" s="515">
        <f t="shared" si="0"/>
        <v>1961</v>
      </c>
      <c r="E10" s="107">
        <f t="shared" si="1"/>
        <v>5.69</v>
      </c>
    </row>
    <row r="11" spans="1:5" ht="18.75" customHeight="1">
      <c r="A11" s="1214" t="s">
        <v>1390</v>
      </c>
      <c r="B11" s="1215">
        <v>154.51</v>
      </c>
      <c r="C11" s="120">
        <v>226927</v>
      </c>
      <c r="D11" s="515">
        <f t="shared" si="0"/>
        <v>1469</v>
      </c>
      <c r="E11" s="107">
        <f t="shared" si="1"/>
        <v>4.45</v>
      </c>
    </row>
    <row r="12" spans="1:5" ht="18.75" customHeight="1">
      <c r="A12" s="1214" t="s">
        <v>1391</v>
      </c>
      <c r="B12" s="1215">
        <v>165.7</v>
      </c>
      <c r="C12" s="120">
        <v>262998</v>
      </c>
      <c r="D12" s="515">
        <f t="shared" si="0"/>
        <v>1587</v>
      </c>
      <c r="E12" s="107">
        <f t="shared" si="1"/>
        <v>5.16</v>
      </c>
    </row>
    <row r="13" spans="1:5" ht="18.75" customHeight="1">
      <c r="A13" s="1214" t="s">
        <v>1392</v>
      </c>
      <c r="B13" s="1215">
        <v>137.58000000000001</v>
      </c>
      <c r="C13" s="120">
        <v>188119</v>
      </c>
      <c r="D13" s="515">
        <f t="shared" si="0"/>
        <v>1367</v>
      </c>
      <c r="E13" s="107">
        <f t="shared" si="1"/>
        <v>3.69</v>
      </c>
    </row>
    <row r="14" spans="1:5" ht="18.75" customHeight="1">
      <c r="A14" s="1199" t="s">
        <v>1383</v>
      </c>
      <c r="B14" s="1216">
        <v>10.36</v>
      </c>
      <c r="C14" s="120">
        <v>65306</v>
      </c>
      <c r="D14" s="515">
        <f t="shared" si="0"/>
        <v>6304</v>
      </c>
      <c r="E14" s="107">
        <f t="shared" si="1"/>
        <v>1.28</v>
      </c>
    </row>
    <row r="15" spans="1:5" ht="18.75" customHeight="1">
      <c r="A15" s="527" t="s">
        <v>1268</v>
      </c>
      <c r="B15" s="1211">
        <f>SUM(B16:B21)</f>
        <v>683.93999999999994</v>
      </c>
      <c r="C15" s="1212">
        <f>SUM(C16:C21)</f>
        <v>959934</v>
      </c>
      <c r="D15" s="1213">
        <f t="shared" si="0"/>
        <v>1404</v>
      </c>
      <c r="E15" s="378">
        <f>ROUND(C15/$C$39*100,2)</f>
        <v>18.84</v>
      </c>
    </row>
    <row r="16" spans="1:5" ht="18.75" customHeight="1">
      <c r="A16" s="1214" t="s">
        <v>1393</v>
      </c>
      <c r="B16" s="1215">
        <v>146.47999999999999</v>
      </c>
      <c r="C16" s="120">
        <v>206277</v>
      </c>
      <c r="D16" s="515">
        <f t="shared" si="0"/>
        <v>1408</v>
      </c>
      <c r="E16" s="107">
        <f t="shared" ref="E16:E38" si="2">ROUND(C16/$C$39*100,2)</f>
        <v>4.05</v>
      </c>
    </row>
    <row r="17" spans="1:5" ht="18.75" customHeight="1">
      <c r="A17" s="1214" t="s">
        <v>1395</v>
      </c>
      <c r="B17" s="1215">
        <v>181.84</v>
      </c>
      <c r="C17" s="120">
        <v>207835</v>
      </c>
      <c r="D17" s="515">
        <f t="shared" si="0"/>
        <v>1143</v>
      </c>
      <c r="E17" s="107">
        <f t="shared" si="2"/>
        <v>4.08</v>
      </c>
    </row>
    <row r="18" spans="1:5" ht="18.75" customHeight="1">
      <c r="A18" s="1214" t="s">
        <v>1396</v>
      </c>
      <c r="B18" s="1215">
        <v>105.74</v>
      </c>
      <c r="C18" s="120">
        <v>123219</v>
      </c>
      <c r="D18" s="515">
        <f t="shared" si="0"/>
        <v>1165</v>
      </c>
      <c r="E18" s="107">
        <f t="shared" si="2"/>
        <v>2.42</v>
      </c>
    </row>
    <row r="19" spans="1:5" ht="18.75" customHeight="1">
      <c r="A19" s="1214" t="s">
        <v>1397</v>
      </c>
      <c r="B19" s="1215">
        <v>79.540000000000006</v>
      </c>
      <c r="C19" s="120">
        <v>123784</v>
      </c>
      <c r="D19" s="515">
        <f t="shared" si="0"/>
        <v>1556</v>
      </c>
      <c r="E19" s="107">
        <f t="shared" si="2"/>
        <v>2.4300000000000002</v>
      </c>
    </row>
    <row r="20" spans="1:5" ht="18.75" customHeight="1">
      <c r="A20" s="1214" t="s">
        <v>1399</v>
      </c>
      <c r="B20" s="1215">
        <v>65.44</v>
      </c>
      <c r="C20" s="120">
        <v>97992</v>
      </c>
      <c r="D20" s="515">
        <f t="shared" si="0"/>
        <v>1497</v>
      </c>
      <c r="E20" s="107">
        <f t="shared" si="2"/>
        <v>1.92</v>
      </c>
    </row>
    <row r="21" spans="1:5" ht="18.75" customHeight="1">
      <c r="A21" s="1214" t="s">
        <v>1400</v>
      </c>
      <c r="B21" s="1215">
        <v>104.9</v>
      </c>
      <c r="C21" s="120">
        <v>200827</v>
      </c>
      <c r="D21" s="515">
        <f t="shared" si="0"/>
        <v>1914</v>
      </c>
      <c r="E21" s="107">
        <f t="shared" si="2"/>
        <v>3.94</v>
      </c>
    </row>
    <row r="22" spans="1:5" ht="18.75" customHeight="1">
      <c r="A22" s="527" t="s">
        <v>1266</v>
      </c>
      <c r="B22" s="1211">
        <f>SUM(B23:B28)</f>
        <v>940.96</v>
      </c>
      <c r="C22" s="1212">
        <f>SUM(C23:C28)</f>
        <v>958939</v>
      </c>
      <c r="D22" s="1213">
        <f t="shared" si="0"/>
        <v>1019</v>
      </c>
      <c r="E22" s="378">
        <f t="shared" si="2"/>
        <v>18.82</v>
      </c>
    </row>
    <row r="23" spans="1:5" ht="18.75" customHeight="1">
      <c r="A23" s="165" t="s">
        <v>1269</v>
      </c>
      <c r="B23" s="1215">
        <v>172.26</v>
      </c>
      <c r="C23" s="120">
        <v>173377</v>
      </c>
      <c r="D23" s="515">
        <f t="shared" si="0"/>
        <v>1006</v>
      </c>
      <c r="E23" s="107">
        <f t="shared" si="2"/>
        <v>3.4</v>
      </c>
    </row>
    <row r="24" spans="1:5" ht="18.75" customHeight="1">
      <c r="A24" s="165" t="s">
        <v>1270</v>
      </c>
      <c r="B24" s="1215">
        <v>191.74</v>
      </c>
      <c r="C24" s="120">
        <v>175056</v>
      </c>
      <c r="D24" s="515">
        <f t="shared" si="0"/>
        <v>913</v>
      </c>
      <c r="E24" s="107">
        <f t="shared" si="2"/>
        <v>3.44</v>
      </c>
    </row>
    <row r="25" spans="1:5" ht="18.75" customHeight="1">
      <c r="A25" s="1214" t="s">
        <v>1412</v>
      </c>
      <c r="B25" s="1215">
        <v>174.24</v>
      </c>
      <c r="C25" s="120">
        <v>234432</v>
      </c>
      <c r="D25" s="515">
        <f t="shared" si="0"/>
        <v>1345</v>
      </c>
      <c r="E25" s="107">
        <f t="shared" si="2"/>
        <v>4.5999999999999996</v>
      </c>
    </row>
    <row r="26" spans="1:5" ht="18.75" customHeight="1">
      <c r="A26" s="1214" t="s">
        <v>1413</v>
      </c>
      <c r="B26" s="1215">
        <v>197.9</v>
      </c>
      <c r="C26" s="120">
        <v>167163</v>
      </c>
      <c r="D26" s="515">
        <f t="shared" si="0"/>
        <v>845</v>
      </c>
      <c r="E26" s="107">
        <f t="shared" si="2"/>
        <v>3.28</v>
      </c>
    </row>
    <row r="27" spans="1:5" ht="18.75" customHeight="1">
      <c r="A27" s="1214" t="s">
        <v>1414</v>
      </c>
      <c r="B27" s="1215">
        <v>184.71</v>
      </c>
      <c r="C27" s="120">
        <v>178763</v>
      </c>
      <c r="D27" s="515">
        <f t="shared" si="0"/>
        <v>968</v>
      </c>
      <c r="E27" s="107">
        <f t="shared" si="2"/>
        <v>3.51</v>
      </c>
    </row>
    <row r="28" spans="1:5" ht="18.75" customHeight="1">
      <c r="A28" s="1214" t="s">
        <v>1415</v>
      </c>
      <c r="B28" s="1215">
        <v>20.11</v>
      </c>
      <c r="C28" s="120">
        <v>30148</v>
      </c>
      <c r="D28" s="515">
        <f t="shared" si="0"/>
        <v>1499</v>
      </c>
      <c r="E28" s="107">
        <f t="shared" si="2"/>
        <v>0.59</v>
      </c>
    </row>
    <row r="29" spans="1:5" ht="18.75" customHeight="1">
      <c r="A29" s="527" t="s">
        <v>1271</v>
      </c>
      <c r="B29" s="1211">
        <f>SUM(B30:B38)</f>
        <v>1251.21</v>
      </c>
      <c r="C29" s="1212">
        <f>SUM(C30:C38)</f>
        <v>1385307</v>
      </c>
      <c r="D29" s="1213">
        <f t="shared" si="0"/>
        <v>1107</v>
      </c>
      <c r="E29" s="378">
        <f t="shared" si="2"/>
        <v>27.18</v>
      </c>
    </row>
    <row r="30" spans="1:5" ht="18.75" customHeight="1">
      <c r="A30" s="1214" t="s">
        <v>1419</v>
      </c>
      <c r="B30" s="1215">
        <v>130.51</v>
      </c>
      <c r="C30" s="120">
        <v>132992</v>
      </c>
      <c r="D30" s="515">
        <f t="shared" si="0"/>
        <v>1019</v>
      </c>
      <c r="E30" s="107">
        <f t="shared" si="2"/>
        <v>2.61</v>
      </c>
    </row>
    <row r="31" spans="1:5" ht="18.75" customHeight="1">
      <c r="A31" s="1214" t="s">
        <v>1420</v>
      </c>
      <c r="B31" s="1215">
        <v>137.46</v>
      </c>
      <c r="C31" s="120">
        <v>139463</v>
      </c>
      <c r="D31" s="515">
        <f t="shared" si="0"/>
        <v>1015</v>
      </c>
      <c r="E31" s="107">
        <f t="shared" si="2"/>
        <v>2.74</v>
      </c>
    </row>
    <row r="32" spans="1:5" ht="18.75" customHeight="1">
      <c r="A32" s="1214" t="s">
        <v>1422</v>
      </c>
      <c r="B32" s="1215">
        <v>180.2</v>
      </c>
      <c r="C32" s="120">
        <v>192162</v>
      </c>
      <c r="D32" s="515">
        <f t="shared" si="0"/>
        <v>1066</v>
      </c>
      <c r="E32" s="107">
        <f t="shared" si="2"/>
        <v>3.77</v>
      </c>
    </row>
    <row r="33" spans="1:5" ht="18.75" customHeight="1">
      <c r="A33" s="1214" t="s">
        <v>1423</v>
      </c>
      <c r="B33" s="1215">
        <v>139.43</v>
      </c>
      <c r="C33" s="120">
        <v>167330</v>
      </c>
      <c r="D33" s="515">
        <f t="shared" si="0"/>
        <v>1200</v>
      </c>
      <c r="E33" s="107">
        <f t="shared" si="2"/>
        <v>3.28</v>
      </c>
    </row>
    <row r="34" spans="1:5" ht="18.75" customHeight="1">
      <c r="A34" s="1214" t="s">
        <v>1425</v>
      </c>
      <c r="B34" s="1215">
        <v>163.27000000000001</v>
      </c>
      <c r="C34" s="120">
        <v>156054</v>
      </c>
      <c r="D34" s="515">
        <f t="shared" si="0"/>
        <v>956</v>
      </c>
      <c r="E34" s="107">
        <f t="shared" si="2"/>
        <v>3.06</v>
      </c>
    </row>
    <row r="35" spans="1:5" ht="18.75" customHeight="1">
      <c r="A35" s="1214" t="s">
        <v>1426</v>
      </c>
      <c r="B35" s="1215">
        <v>155.27000000000001</v>
      </c>
      <c r="C35" s="120">
        <v>170894</v>
      </c>
      <c r="D35" s="515">
        <f t="shared" si="0"/>
        <v>1101</v>
      </c>
      <c r="E35" s="107">
        <f t="shared" si="2"/>
        <v>3.35</v>
      </c>
    </row>
    <row r="36" spans="1:5" ht="18.75" customHeight="1">
      <c r="A36" s="1214" t="s">
        <v>263</v>
      </c>
      <c r="B36" s="1215">
        <v>170.3</v>
      </c>
      <c r="C36" s="120">
        <v>176393</v>
      </c>
      <c r="D36" s="515">
        <f t="shared" si="0"/>
        <v>1036</v>
      </c>
      <c r="E36" s="107">
        <f t="shared" si="2"/>
        <v>3.46</v>
      </c>
    </row>
    <row r="37" spans="1:5" ht="18.75" customHeight="1">
      <c r="A37" s="1214" t="s">
        <v>1429</v>
      </c>
      <c r="B37" s="1215">
        <v>160.52000000000001</v>
      </c>
      <c r="C37" s="120">
        <v>157793</v>
      </c>
      <c r="D37" s="515">
        <f t="shared" si="0"/>
        <v>983</v>
      </c>
      <c r="E37" s="107">
        <f t="shared" si="2"/>
        <v>3.1</v>
      </c>
    </row>
    <row r="38" spans="1:5" ht="18.75" customHeight="1">
      <c r="A38" s="1214" t="s">
        <v>1427</v>
      </c>
      <c r="B38" s="1215">
        <v>14.25</v>
      </c>
      <c r="C38" s="120">
        <v>92226</v>
      </c>
      <c r="D38" s="515">
        <f t="shared" si="0"/>
        <v>6472</v>
      </c>
      <c r="E38" s="107">
        <f t="shared" si="2"/>
        <v>1.81</v>
      </c>
    </row>
    <row r="39" spans="1:5" ht="15.95" customHeight="1">
      <c r="A39" s="1296" t="s">
        <v>1225</v>
      </c>
      <c r="B39" s="1382">
        <v>4713</v>
      </c>
      <c r="C39" s="513">
        <f>SUM(C5,C15,C22,C29)</f>
        <v>5095875</v>
      </c>
      <c r="D39" s="514">
        <f t="shared" si="0"/>
        <v>1081</v>
      </c>
      <c r="E39" s="383">
        <f>SUM(E29,E22,E15,E5)</f>
        <v>100</v>
      </c>
    </row>
    <row r="40" spans="1:5" ht="12.75" customHeight="1">
      <c r="A40" s="1889" t="s">
        <v>639</v>
      </c>
      <c r="B40" s="1889"/>
      <c r="C40" s="1889"/>
      <c r="E40" s="1063" t="s">
        <v>1176</v>
      </c>
    </row>
    <row r="41" spans="1:5">
      <c r="A41" s="1890"/>
      <c r="B41" s="1890"/>
      <c r="C41" s="1890"/>
    </row>
    <row r="42" spans="1:5">
      <c r="A42" s="1060"/>
      <c r="B42" s="1149"/>
      <c r="C42" s="1287"/>
      <c r="D42" s="327"/>
    </row>
    <row r="43" spans="1:5">
      <c r="A43" s="39"/>
      <c r="B43" s="8"/>
      <c r="C43" s="8"/>
      <c r="D43" s="8"/>
      <c r="E43" s="1288"/>
    </row>
    <row r="46" spans="1:5">
      <c r="A46" s="62"/>
      <c r="B46" s="79"/>
      <c r="C46" s="79"/>
    </row>
    <row r="48" spans="1:5">
      <c r="A48" s="62"/>
      <c r="B48" s="79"/>
      <c r="C48" s="79"/>
    </row>
    <row r="49" spans="1:5">
      <c r="A49" s="62"/>
      <c r="B49" s="79"/>
      <c r="C49" s="79"/>
    </row>
    <row r="50" spans="1:5">
      <c r="A50" s="62"/>
      <c r="B50" s="79"/>
      <c r="C50" s="79"/>
    </row>
    <row r="51" spans="1:5">
      <c r="A51" s="62"/>
      <c r="B51" s="79"/>
      <c r="C51" s="79"/>
    </row>
    <row r="52" spans="1:5">
      <c r="A52" s="62"/>
      <c r="B52" s="79"/>
      <c r="C52" s="79"/>
    </row>
    <row r="53" spans="1:5">
      <c r="A53" s="62"/>
      <c r="B53" s="79"/>
      <c r="C53" s="79"/>
    </row>
    <row r="54" spans="1:5">
      <c r="A54" s="62"/>
      <c r="B54" s="79"/>
      <c r="C54" s="79"/>
    </row>
    <row r="55" spans="1:5">
      <c r="A55" s="62"/>
      <c r="B55" s="79"/>
      <c r="C55" s="79"/>
    </row>
    <row r="56" spans="1:5">
      <c r="A56" s="61"/>
      <c r="B56" s="67"/>
      <c r="C56" s="67"/>
      <c r="D56" s="8"/>
      <c r="E56" s="75"/>
    </row>
  </sheetData>
  <mergeCells count="5">
    <mergeCell ref="A2:E2"/>
    <mergeCell ref="A1:E1"/>
    <mergeCell ref="A40:C41"/>
    <mergeCell ref="B8:B9"/>
    <mergeCell ref="D8:D9"/>
  </mergeCells>
  <phoneticPr fontId="0" type="noConversion"/>
  <printOptions horizontalCentered="1"/>
  <pageMargins left="0.21" right="0.1" top="0.39" bottom="0.1" header="0.43" footer="0.1"/>
  <pageSetup paperSize="9"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dimension ref="A1:J19"/>
  <sheetViews>
    <sheetView workbookViewId="0">
      <selection activeCell="C3" sqref="C3"/>
    </sheetView>
  </sheetViews>
  <sheetFormatPr defaultRowHeight="12.75"/>
  <cols>
    <col min="1" max="1" width="11.5703125" customWidth="1"/>
    <col min="2" max="2" width="13.7109375" customWidth="1"/>
    <col min="3" max="4" width="14" customWidth="1"/>
    <col min="5" max="5" width="13.42578125" customWidth="1"/>
    <col min="6" max="6" width="13.85546875" customWidth="1"/>
    <col min="7" max="8" width="14" customWidth="1"/>
    <col min="9" max="9" width="16.42578125" customWidth="1"/>
  </cols>
  <sheetData>
    <row r="1" spans="1:10" ht="15" customHeight="1">
      <c r="A1" s="1825" t="s">
        <v>447</v>
      </c>
      <c r="B1" s="1825"/>
      <c r="C1" s="1825"/>
      <c r="D1" s="1825"/>
      <c r="E1" s="1825"/>
      <c r="F1" s="1825"/>
      <c r="G1" s="1825"/>
      <c r="H1" s="1825"/>
      <c r="I1" s="1825"/>
    </row>
    <row r="2" spans="1:10" ht="21" customHeight="1">
      <c r="A2" s="1857" t="str">
        <f>CONCATENATE("Growth of Population by sex on different Census years in the district of ",District!$A$1)</f>
        <v>Growth of Population by sex on different Census years in the district of Purba Medinipur</v>
      </c>
      <c r="B2" s="1857"/>
      <c r="C2" s="1857"/>
      <c r="D2" s="1857"/>
      <c r="E2" s="1857"/>
      <c r="F2" s="1857"/>
      <c r="G2" s="1857"/>
      <c r="H2" s="1857"/>
      <c r="I2" s="1857"/>
    </row>
    <row r="3" spans="1:10" ht="15.75" customHeight="1">
      <c r="A3" s="4"/>
      <c r="B3" s="7"/>
      <c r="C3" s="7"/>
      <c r="D3" s="4"/>
      <c r="E3" s="4"/>
      <c r="F3" s="7"/>
      <c r="I3" s="194" t="s">
        <v>244</v>
      </c>
      <c r="J3" s="7"/>
    </row>
    <row r="4" spans="1:10" ht="42" customHeight="1">
      <c r="A4" s="739" t="s">
        <v>899</v>
      </c>
      <c r="B4" s="356" t="s">
        <v>1158</v>
      </c>
      <c r="C4" s="356" t="s">
        <v>1156</v>
      </c>
      <c r="D4" s="357" t="s">
        <v>261</v>
      </c>
      <c r="E4" s="356" t="s">
        <v>262</v>
      </c>
      <c r="F4" s="356" t="s">
        <v>1155</v>
      </c>
      <c r="G4" s="356" t="s">
        <v>1159</v>
      </c>
      <c r="H4" s="356" t="s">
        <v>1166</v>
      </c>
      <c r="I4" s="687" t="s">
        <v>1157</v>
      </c>
    </row>
    <row r="5" spans="1:10" ht="20.100000000000001" customHeight="1">
      <c r="A5" s="134" t="s">
        <v>955</v>
      </c>
      <c r="B5" s="134" t="s">
        <v>956</v>
      </c>
      <c r="C5" s="134" t="s">
        <v>957</v>
      </c>
      <c r="D5" s="135" t="s">
        <v>958</v>
      </c>
      <c r="E5" s="134" t="s">
        <v>959</v>
      </c>
      <c r="F5" s="134" t="s">
        <v>961</v>
      </c>
      <c r="G5" s="135" t="s">
        <v>962</v>
      </c>
      <c r="H5" s="134" t="s">
        <v>990</v>
      </c>
      <c r="I5" s="136" t="s">
        <v>991</v>
      </c>
    </row>
    <row r="6" spans="1:10" ht="27" customHeight="1">
      <c r="A6" s="222">
        <v>1901</v>
      </c>
      <c r="B6" s="110">
        <f t="shared" ref="B6:B16" si="0">SUM(D6:E6)</f>
        <v>2789114</v>
      </c>
      <c r="C6" s="92">
        <f t="shared" ref="C6:C14" si="1">ROUND(B6/$B$6*100,0)</f>
        <v>100</v>
      </c>
      <c r="D6" s="115">
        <v>1390233</v>
      </c>
      <c r="E6" s="110">
        <v>1398881</v>
      </c>
      <c r="F6" s="120">
        <f t="shared" ref="F6:F17" si="2">ROUND(E6/D6*100,0)</f>
        <v>101</v>
      </c>
      <c r="G6" s="115">
        <v>89876</v>
      </c>
      <c r="H6" s="515">
        <f t="shared" ref="H6:H17" si="3">B6-G6</f>
        <v>2699238</v>
      </c>
      <c r="I6" s="132">
        <f t="shared" ref="I6:I17" si="4">ROUND(H6/B6*100,2)</f>
        <v>96.78</v>
      </c>
    </row>
    <row r="7" spans="1:10" ht="27" customHeight="1">
      <c r="A7" s="222">
        <v>1911</v>
      </c>
      <c r="B7" s="110">
        <f t="shared" si="0"/>
        <v>2821201</v>
      </c>
      <c r="C7" s="110">
        <f t="shared" si="1"/>
        <v>101</v>
      </c>
      <c r="D7" s="115">
        <v>1410714</v>
      </c>
      <c r="E7" s="110">
        <v>1410487</v>
      </c>
      <c r="F7" s="120">
        <f t="shared" si="2"/>
        <v>100</v>
      </c>
      <c r="G7" s="115">
        <v>101855</v>
      </c>
      <c r="H7" s="515">
        <f t="shared" si="3"/>
        <v>2719346</v>
      </c>
      <c r="I7" s="107">
        <f t="shared" si="4"/>
        <v>96.39</v>
      </c>
    </row>
    <row r="8" spans="1:10" ht="27" customHeight="1">
      <c r="A8" s="222">
        <v>1921</v>
      </c>
      <c r="B8" s="110">
        <f t="shared" si="0"/>
        <v>2666660</v>
      </c>
      <c r="C8" s="110">
        <f t="shared" si="1"/>
        <v>96</v>
      </c>
      <c r="D8" s="115">
        <v>1339652</v>
      </c>
      <c r="E8" s="110">
        <v>1327008</v>
      </c>
      <c r="F8" s="120">
        <f t="shared" si="2"/>
        <v>99</v>
      </c>
      <c r="G8" s="115">
        <v>96869</v>
      </c>
      <c r="H8" s="515">
        <f t="shared" si="3"/>
        <v>2569791</v>
      </c>
      <c r="I8" s="107">
        <f t="shared" si="4"/>
        <v>96.37</v>
      </c>
    </row>
    <row r="9" spans="1:10" ht="27" customHeight="1">
      <c r="A9" s="222">
        <v>1931</v>
      </c>
      <c r="B9" s="110">
        <f t="shared" si="0"/>
        <v>2799093</v>
      </c>
      <c r="C9" s="110">
        <f t="shared" si="1"/>
        <v>100</v>
      </c>
      <c r="D9" s="115">
        <v>1417025</v>
      </c>
      <c r="E9" s="110">
        <v>1382068</v>
      </c>
      <c r="F9" s="120">
        <f t="shared" si="2"/>
        <v>98</v>
      </c>
      <c r="G9" s="115">
        <v>138584</v>
      </c>
      <c r="H9" s="515">
        <f t="shared" si="3"/>
        <v>2660509</v>
      </c>
      <c r="I9" s="107">
        <f t="shared" si="4"/>
        <v>95.05</v>
      </c>
    </row>
    <row r="10" spans="1:10" ht="27" customHeight="1">
      <c r="A10" s="222">
        <v>1941</v>
      </c>
      <c r="B10" s="110">
        <f t="shared" si="0"/>
        <v>3190647</v>
      </c>
      <c r="C10" s="110">
        <f t="shared" si="1"/>
        <v>114</v>
      </c>
      <c r="D10" s="115">
        <v>1631673</v>
      </c>
      <c r="E10" s="110">
        <v>1558974</v>
      </c>
      <c r="F10" s="120">
        <f t="shared" si="2"/>
        <v>96</v>
      </c>
      <c r="G10" s="115">
        <v>188047</v>
      </c>
      <c r="H10" s="515">
        <f t="shared" si="3"/>
        <v>3002600</v>
      </c>
      <c r="I10" s="107">
        <f t="shared" si="4"/>
        <v>94.11</v>
      </c>
    </row>
    <row r="11" spans="1:10" ht="27" customHeight="1">
      <c r="A11" s="222">
        <v>1951</v>
      </c>
      <c r="B11" s="110">
        <f t="shared" si="0"/>
        <v>3359022</v>
      </c>
      <c r="C11" s="110">
        <f t="shared" si="1"/>
        <v>120</v>
      </c>
      <c r="D11" s="115">
        <v>1718459</v>
      </c>
      <c r="E11" s="110">
        <v>1640563</v>
      </c>
      <c r="F11" s="120">
        <f t="shared" si="2"/>
        <v>95</v>
      </c>
      <c r="G11" s="115">
        <v>252880</v>
      </c>
      <c r="H11" s="515">
        <f t="shared" si="3"/>
        <v>3106142</v>
      </c>
      <c r="I11" s="107">
        <f t="shared" si="4"/>
        <v>92.47</v>
      </c>
    </row>
    <row r="12" spans="1:10" ht="27" customHeight="1">
      <c r="A12" s="222">
        <v>1961</v>
      </c>
      <c r="B12" s="110">
        <f t="shared" si="0"/>
        <v>4341855</v>
      </c>
      <c r="C12" s="110">
        <f t="shared" si="1"/>
        <v>156</v>
      </c>
      <c r="D12" s="115">
        <v>2224073</v>
      </c>
      <c r="E12" s="110">
        <v>2117782</v>
      </c>
      <c r="F12" s="120">
        <f t="shared" si="2"/>
        <v>95</v>
      </c>
      <c r="G12" s="115">
        <v>334286</v>
      </c>
      <c r="H12" s="515">
        <f t="shared" si="3"/>
        <v>4007569</v>
      </c>
      <c r="I12" s="107">
        <f t="shared" si="4"/>
        <v>92.3</v>
      </c>
    </row>
    <row r="13" spans="1:10" ht="27" customHeight="1">
      <c r="A13" s="222">
        <v>1971</v>
      </c>
      <c r="B13" s="110">
        <f t="shared" si="0"/>
        <v>5509247</v>
      </c>
      <c r="C13" s="110">
        <f t="shared" si="1"/>
        <v>198</v>
      </c>
      <c r="D13" s="115">
        <v>2831863</v>
      </c>
      <c r="E13" s="110">
        <v>2677384</v>
      </c>
      <c r="F13" s="120">
        <f t="shared" si="2"/>
        <v>95</v>
      </c>
      <c r="G13" s="115">
        <v>420156</v>
      </c>
      <c r="H13" s="515">
        <f t="shared" si="3"/>
        <v>5089091</v>
      </c>
      <c r="I13" s="107">
        <f t="shared" si="4"/>
        <v>92.37</v>
      </c>
    </row>
    <row r="14" spans="1:10" ht="27" customHeight="1">
      <c r="A14" s="222">
        <v>1981</v>
      </c>
      <c r="B14" s="110">
        <f t="shared" si="0"/>
        <v>6742796</v>
      </c>
      <c r="C14" s="110">
        <f t="shared" si="1"/>
        <v>242</v>
      </c>
      <c r="D14" s="115">
        <v>3455375</v>
      </c>
      <c r="E14" s="110">
        <v>3287421</v>
      </c>
      <c r="F14" s="120">
        <f t="shared" si="2"/>
        <v>95</v>
      </c>
      <c r="G14" s="115">
        <v>572757</v>
      </c>
      <c r="H14" s="515">
        <f t="shared" si="3"/>
        <v>6170039</v>
      </c>
      <c r="I14" s="107">
        <f t="shared" si="4"/>
        <v>91.51</v>
      </c>
    </row>
    <row r="15" spans="1:10" ht="27" customHeight="1">
      <c r="A15" s="222">
        <v>1991</v>
      </c>
      <c r="B15" s="110">
        <f t="shared" si="0"/>
        <v>3845633</v>
      </c>
      <c r="C15" s="110">
        <f>ROUND(B15/$B$15*100,0)</f>
        <v>100</v>
      </c>
      <c r="D15" s="115">
        <v>1983085</v>
      </c>
      <c r="E15" s="110">
        <v>1862548</v>
      </c>
      <c r="F15" s="120">
        <f t="shared" si="2"/>
        <v>94</v>
      </c>
      <c r="G15" s="115">
        <v>253428</v>
      </c>
      <c r="H15" s="515">
        <f t="shared" si="3"/>
        <v>3592205</v>
      </c>
      <c r="I15" s="107">
        <f t="shared" si="4"/>
        <v>93.41</v>
      </c>
    </row>
    <row r="16" spans="1:10" ht="27" customHeight="1">
      <c r="A16" s="731">
        <v>2001</v>
      </c>
      <c r="B16" s="110">
        <f t="shared" si="0"/>
        <v>4417377</v>
      </c>
      <c r="C16" s="110">
        <f>ROUND(B16/$B$15*100,0)</f>
        <v>115</v>
      </c>
      <c r="D16" s="46">
        <v>2268322</v>
      </c>
      <c r="E16" s="110">
        <v>2149055</v>
      </c>
      <c r="F16" s="120">
        <f t="shared" si="2"/>
        <v>95</v>
      </c>
      <c r="G16" s="46">
        <v>366145</v>
      </c>
      <c r="H16" s="515">
        <f t="shared" si="3"/>
        <v>4051232</v>
      </c>
      <c r="I16" s="107">
        <f t="shared" si="4"/>
        <v>91.71</v>
      </c>
    </row>
    <row r="17" spans="1:9" ht="27" customHeight="1">
      <c r="A17" s="1319">
        <v>2011</v>
      </c>
      <c r="B17" s="443">
        <v>5095875</v>
      </c>
      <c r="C17" s="28">
        <f>ROUND(B17/$B$15*100,0)</f>
        <v>133</v>
      </c>
      <c r="D17" s="111">
        <v>2629834</v>
      </c>
      <c r="E17" s="28">
        <f>B17-D17</f>
        <v>2466041</v>
      </c>
      <c r="F17" s="121">
        <f t="shared" si="2"/>
        <v>94</v>
      </c>
      <c r="G17" s="28">
        <v>592714</v>
      </c>
      <c r="H17" s="516">
        <f t="shared" si="3"/>
        <v>4503161</v>
      </c>
      <c r="I17" s="140">
        <f t="shared" si="4"/>
        <v>88.37</v>
      </c>
    </row>
    <row r="18" spans="1:9">
      <c r="A18" s="1063" t="s">
        <v>1485</v>
      </c>
      <c r="B18" s="1096" t="s">
        <v>488</v>
      </c>
      <c r="C18" s="319"/>
      <c r="D18" s="319"/>
      <c r="E18" s="931"/>
      <c r="F18" s="932"/>
      <c r="H18" s="319"/>
      <c r="I18" s="1063" t="s">
        <v>835</v>
      </c>
    </row>
    <row r="19" spans="1:9">
      <c r="A19" s="1096"/>
      <c r="B19" s="1095" t="s">
        <v>1021</v>
      </c>
      <c r="C19" s="319"/>
      <c r="D19" s="319"/>
      <c r="E19" s="931"/>
      <c r="F19" s="932"/>
      <c r="H19" s="88"/>
    </row>
  </sheetData>
  <mergeCells count="2">
    <mergeCell ref="A1:I1"/>
    <mergeCell ref="A2:I2"/>
  </mergeCells>
  <phoneticPr fontId="0" type="noConversion"/>
  <printOptions horizontalCentered="1"/>
  <pageMargins left="0.1" right="0.1" top="1" bottom="0.1" header="0.61" footer="0.1"/>
  <pageSetup paperSize="9" orientation="landscape" blackAndWhite="1" r:id="rId1"/>
  <headerFooter alignWithMargins="0"/>
</worksheet>
</file>

<file path=xl/worksheets/sheet12.xml><?xml version="1.0" encoding="utf-8"?>
<worksheet xmlns="http://schemas.openxmlformats.org/spreadsheetml/2006/main" xmlns:r="http://schemas.openxmlformats.org/officeDocument/2006/relationships">
  <sheetPr codeName="Sheet42"/>
  <dimension ref="A1:M61"/>
  <sheetViews>
    <sheetView workbookViewId="0">
      <selection activeCell="C3" sqref="C3"/>
    </sheetView>
  </sheetViews>
  <sheetFormatPr defaultRowHeight="12.75"/>
  <cols>
    <col min="1" max="1" width="24.7109375" customWidth="1"/>
    <col min="2" max="10" width="11.85546875" customWidth="1"/>
  </cols>
  <sheetData>
    <row r="1" spans="1:13" ht="12.75" customHeight="1">
      <c r="A1" s="1893" t="s">
        <v>449</v>
      </c>
      <c r="B1" s="1893"/>
      <c r="C1" s="1893"/>
      <c r="D1" s="1893"/>
      <c r="E1" s="1893"/>
      <c r="F1" s="1893"/>
      <c r="G1" s="1893"/>
      <c r="H1" s="1893"/>
      <c r="I1" s="1893"/>
      <c r="J1" s="1893"/>
    </row>
    <row r="2" spans="1:13" ht="14.25" customHeight="1">
      <c r="A2" s="1894" t="str">
        <f>CONCATENATE("Distribution of Rural and Urban Population by sex in the district of ",District!$A$1,", 2001")</f>
        <v>Distribution of Rural and Urban Population by sex in the district of Purba Medinipur, 2001</v>
      </c>
      <c r="B2" s="1894"/>
      <c r="C2" s="1894"/>
      <c r="D2" s="1894"/>
      <c r="E2" s="1894"/>
      <c r="F2" s="1894"/>
      <c r="G2" s="1894"/>
      <c r="H2" s="1894"/>
      <c r="I2" s="1894"/>
      <c r="J2" s="1894"/>
    </row>
    <row r="3" spans="1:13" ht="12" customHeight="1">
      <c r="A3" s="4"/>
      <c r="B3" s="4"/>
      <c r="C3" s="4"/>
      <c r="D3" s="4"/>
      <c r="E3" s="4"/>
      <c r="F3" s="4"/>
      <c r="G3" s="4"/>
      <c r="H3" s="4"/>
      <c r="I3" s="4"/>
      <c r="J3" s="194" t="s">
        <v>1001</v>
      </c>
      <c r="K3" s="7"/>
    </row>
    <row r="4" spans="1:13" ht="12.75" customHeight="1">
      <c r="A4" s="1837" t="s">
        <v>1181</v>
      </c>
      <c r="B4" s="1896" t="s">
        <v>1203</v>
      </c>
      <c r="C4" s="1896"/>
      <c r="D4" s="1897"/>
      <c r="E4" s="1895" t="s">
        <v>1204</v>
      </c>
      <c r="F4" s="1896"/>
      <c r="G4" s="1897"/>
      <c r="H4" s="1898" t="s">
        <v>1098</v>
      </c>
      <c r="I4" s="1899"/>
      <c r="J4" s="1900"/>
    </row>
    <row r="5" spans="1:13">
      <c r="A5" s="1838"/>
      <c r="B5" s="168" t="s">
        <v>1040</v>
      </c>
      <c r="C5" s="168" t="s">
        <v>1041</v>
      </c>
      <c r="D5" s="167" t="s">
        <v>979</v>
      </c>
      <c r="E5" s="166" t="s">
        <v>1040</v>
      </c>
      <c r="F5" s="168" t="s">
        <v>1041</v>
      </c>
      <c r="G5" s="167" t="s">
        <v>979</v>
      </c>
      <c r="H5" s="158" t="s">
        <v>1040</v>
      </c>
      <c r="I5" s="183" t="s">
        <v>1041</v>
      </c>
      <c r="J5" s="159" t="s">
        <v>979</v>
      </c>
    </row>
    <row r="6" spans="1:13">
      <c r="A6" s="205" t="s">
        <v>955</v>
      </c>
      <c r="B6" s="176" t="s">
        <v>956</v>
      </c>
      <c r="C6" s="176" t="s">
        <v>957</v>
      </c>
      <c r="D6" s="174" t="s">
        <v>958</v>
      </c>
      <c r="E6" s="176" t="s">
        <v>959</v>
      </c>
      <c r="F6" s="176" t="s">
        <v>961</v>
      </c>
      <c r="G6" s="174" t="s">
        <v>962</v>
      </c>
      <c r="H6" s="176" t="s">
        <v>990</v>
      </c>
      <c r="I6" s="176" t="s">
        <v>991</v>
      </c>
      <c r="J6" s="174" t="s">
        <v>992</v>
      </c>
      <c r="L6" s="7"/>
      <c r="M6" s="7"/>
    </row>
    <row r="7" spans="1:13" ht="12.75" customHeight="1">
      <c r="A7" s="177" t="s">
        <v>1273</v>
      </c>
      <c r="B7" s="178">
        <f>SUM(B8:B15)</f>
        <v>758803</v>
      </c>
      <c r="C7" s="178">
        <f>SUM(C8:C15)</f>
        <v>715876</v>
      </c>
      <c r="D7" s="179">
        <f t="shared" ref="D7:J7" si="0">SUM(D8:D15)</f>
        <v>1474679</v>
      </c>
      <c r="E7" s="178">
        <f t="shared" si="0"/>
        <v>47760</v>
      </c>
      <c r="F7" s="178">
        <f t="shared" si="0"/>
        <v>45019</v>
      </c>
      <c r="G7" s="179">
        <f t="shared" si="0"/>
        <v>92779</v>
      </c>
      <c r="H7" s="178">
        <f t="shared" si="0"/>
        <v>806563</v>
      </c>
      <c r="I7" s="178">
        <f t="shared" si="0"/>
        <v>760895</v>
      </c>
      <c r="J7" s="179">
        <f t="shared" si="0"/>
        <v>1567458</v>
      </c>
    </row>
    <row r="8" spans="1:13" ht="12.75" customHeight="1">
      <c r="A8" s="261" t="s">
        <v>200</v>
      </c>
      <c r="B8" s="67">
        <v>102591</v>
      </c>
      <c r="C8" s="67">
        <v>97157</v>
      </c>
      <c r="D8" s="81">
        <f>IF(SUM(B8:C8)=0,"-",SUM(B8:C8))</f>
        <v>199748</v>
      </c>
      <c r="E8" s="67">
        <v>2440</v>
      </c>
      <c r="F8" s="67">
        <v>2234</v>
      </c>
      <c r="G8" s="81">
        <f t="shared" ref="G8:G15" si="1">IF(SUM(E8:F8)=0,"-",SUM(E8:F8))</f>
        <v>4674</v>
      </c>
      <c r="H8" s="295">
        <f>SUM(B8,E8)</f>
        <v>105031</v>
      </c>
      <c r="I8" s="295">
        <f>SUM(C8,F8)</f>
        <v>99391</v>
      </c>
      <c r="J8" s="298">
        <f t="shared" ref="J8:J15" si="2">IF(SUM(H8:I8)=0,"-",SUM(H8:I8))</f>
        <v>204422</v>
      </c>
    </row>
    <row r="9" spans="1:13" ht="12.75" customHeight="1">
      <c r="A9" s="261" t="s">
        <v>1386</v>
      </c>
      <c r="B9" s="67">
        <v>88446</v>
      </c>
      <c r="C9" s="67">
        <v>82982</v>
      </c>
      <c r="D9" s="81">
        <f t="shared" ref="D9:D39" si="3">IF(SUM(B9:C9)=0,"-",SUM(B9:C9))</f>
        <v>171428</v>
      </c>
      <c r="E9" s="67">
        <v>2541</v>
      </c>
      <c r="F9" s="67">
        <v>2338</v>
      </c>
      <c r="G9" s="81">
        <f t="shared" si="1"/>
        <v>4879</v>
      </c>
      <c r="H9" s="295">
        <f t="shared" ref="H9:H15" si="4">SUM(B9,E9)</f>
        <v>90987</v>
      </c>
      <c r="I9" s="295">
        <f t="shared" ref="I9:I15" si="5">SUM(C9,F9)</f>
        <v>85320</v>
      </c>
      <c r="J9" s="298">
        <f t="shared" si="2"/>
        <v>176307</v>
      </c>
    </row>
    <row r="10" spans="1:13" ht="12.75" customHeight="1">
      <c r="A10" s="261" t="s">
        <v>1388</v>
      </c>
      <c r="B10" s="67">
        <v>148622</v>
      </c>
      <c r="C10" s="67">
        <v>141229</v>
      </c>
      <c r="D10" s="81">
        <f t="shared" si="3"/>
        <v>289851</v>
      </c>
      <c r="E10" s="67">
        <v>4184</v>
      </c>
      <c r="F10" s="67">
        <v>4104</v>
      </c>
      <c r="G10" s="81">
        <f t="shared" si="1"/>
        <v>8288</v>
      </c>
      <c r="H10" s="295">
        <f t="shared" si="4"/>
        <v>152806</v>
      </c>
      <c r="I10" s="295">
        <f t="shared" si="5"/>
        <v>145333</v>
      </c>
      <c r="J10" s="298">
        <f t="shared" si="2"/>
        <v>298139</v>
      </c>
    </row>
    <row r="11" spans="1:13" ht="12.75" customHeight="1">
      <c r="A11" s="182" t="s">
        <v>1347</v>
      </c>
      <c r="B11" s="67">
        <v>119974</v>
      </c>
      <c r="C11" s="67">
        <v>113206</v>
      </c>
      <c r="D11" s="81">
        <f t="shared" si="3"/>
        <v>233180</v>
      </c>
      <c r="E11" s="67">
        <v>12093</v>
      </c>
      <c r="F11" s="67">
        <v>11609</v>
      </c>
      <c r="G11" s="81">
        <f t="shared" si="1"/>
        <v>23702</v>
      </c>
      <c r="H11" s="295">
        <f t="shared" si="4"/>
        <v>132067</v>
      </c>
      <c r="I11" s="295">
        <f t="shared" si="5"/>
        <v>124815</v>
      </c>
      <c r="J11" s="298">
        <f t="shared" si="2"/>
        <v>256882</v>
      </c>
    </row>
    <row r="12" spans="1:13" ht="12.75" customHeight="1">
      <c r="A12" s="261" t="s">
        <v>1390</v>
      </c>
      <c r="B12" s="67">
        <v>99100</v>
      </c>
      <c r="C12" s="67">
        <v>91996</v>
      </c>
      <c r="D12" s="81">
        <f t="shared" si="3"/>
        <v>191096</v>
      </c>
      <c r="E12" s="67">
        <v>2819</v>
      </c>
      <c r="F12" s="67">
        <v>2587</v>
      </c>
      <c r="G12" s="81">
        <f t="shared" si="1"/>
        <v>5406</v>
      </c>
      <c r="H12" s="295">
        <f t="shared" si="4"/>
        <v>101919</v>
      </c>
      <c r="I12" s="295">
        <f t="shared" si="5"/>
        <v>94583</v>
      </c>
      <c r="J12" s="298">
        <f t="shared" si="2"/>
        <v>196502</v>
      </c>
    </row>
    <row r="13" spans="1:13" ht="12.75" customHeight="1">
      <c r="A13" s="261" t="s">
        <v>1391</v>
      </c>
      <c r="B13" s="67">
        <v>117879</v>
      </c>
      <c r="C13" s="67">
        <v>111583</v>
      </c>
      <c r="D13" s="81">
        <f t="shared" si="3"/>
        <v>229462</v>
      </c>
      <c r="E13" s="67" t="s">
        <v>1384</v>
      </c>
      <c r="F13" s="67" t="s">
        <v>1384</v>
      </c>
      <c r="G13" s="81" t="str">
        <f t="shared" si="1"/>
        <v>-</v>
      </c>
      <c r="H13" s="295">
        <f t="shared" si="4"/>
        <v>117879</v>
      </c>
      <c r="I13" s="295">
        <f t="shared" si="5"/>
        <v>111583</v>
      </c>
      <c r="J13" s="298">
        <f t="shared" si="2"/>
        <v>229462</v>
      </c>
    </row>
    <row r="14" spans="1:13" ht="12.75" customHeight="1">
      <c r="A14" s="181" t="s">
        <v>1345</v>
      </c>
      <c r="B14" s="67">
        <v>82191</v>
      </c>
      <c r="C14" s="67">
        <v>77723</v>
      </c>
      <c r="D14" s="81">
        <f t="shared" si="3"/>
        <v>159914</v>
      </c>
      <c r="E14" s="67" t="s">
        <v>1384</v>
      </c>
      <c r="F14" s="67" t="s">
        <v>1384</v>
      </c>
      <c r="G14" s="81" t="str">
        <f t="shared" si="1"/>
        <v>-</v>
      </c>
      <c r="H14" s="295">
        <f t="shared" si="4"/>
        <v>82191</v>
      </c>
      <c r="I14" s="295">
        <f t="shared" si="5"/>
        <v>77723</v>
      </c>
      <c r="J14" s="298">
        <f t="shared" si="2"/>
        <v>159914</v>
      </c>
    </row>
    <row r="15" spans="1:13" ht="12.75" customHeight="1">
      <c r="A15" s="261" t="s">
        <v>1383</v>
      </c>
      <c r="B15" s="67" t="s">
        <v>1384</v>
      </c>
      <c r="C15" s="67" t="s">
        <v>1384</v>
      </c>
      <c r="D15" s="81" t="str">
        <f t="shared" si="3"/>
        <v>-</v>
      </c>
      <c r="E15" s="67">
        <v>23683</v>
      </c>
      <c r="F15" s="67">
        <v>22147</v>
      </c>
      <c r="G15" s="81">
        <f t="shared" si="1"/>
        <v>45830</v>
      </c>
      <c r="H15" s="295">
        <f t="shared" si="4"/>
        <v>23683</v>
      </c>
      <c r="I15" s="295">
        <f t="shared" si="5"/>
        <v>22147</v>
      </c>
      <c r="J15" s="298">
        <f t="shared" si="2"/>
        <v>45830</v>
      </c>
    </row>
    <row r="16" spans="1:13" ht="12.75" customHeight="1">
      <c r="A16" s="180" t="s">
        <v>1274</v>
      </c>
      <c r="B16" s="178">
        <f>SUM(B17:B22)</f>
        <v>332002</v>
      </c>
      <c r="C16" s="178">
        <f t="shared" ref="C16:J16" si="6">SUM(C17:C22)</f>
        <v>317474</v>
      </c>
      <c r="D16" s="179">
        <f t="shared" si="6"/>
        <v>649476</v>
      </c>
      <c r="E16" s="178">
        <f t="shared" si="6"/>
        <v>89893</v>
      </c>
      <c r="F16" s="178">
        <f t="shared" si="6"/>
        <v>80780</v>
      </c>
      <c r="G16" s="179">
        <f t="shared" si="6"/>
        <v>170673</v>
      </c>
      <c r="H16" s="178">
        <f t="shared" si="6"/>
        <v>421895</v>
      </c>
      <c r="I16" s="178">
        <f t="shared" si="6"/>
        <v>398254</v>
      </c>
      <c r="J16" s="179">
        <f t="shared" si="6"/>
        <v>820149</v>
      </c>
    </row>
    <row r="17" spans="1:10" ht="12.75" customHeight="1">
      <c r="A17" s="261" t="s">
        <v>1393</v>
      </c>
      <c r="B17" s="67">
        <v>93284</v>
      </c>
      <c r="C17" s="67">
        <v>88907</v>
      </c>
      <c r="D17" s="81">
        <f t="shared" si="3"/>
        <v>182191</v>
      </c>
      <c r="E17" s="67" t="s">
        <v>1384</v>
      </c>
      <c r="F17" s="67" t="s">
        <v>1384</v>
      </c>
      <c r="G17" s="81" t="str">
        <f t="shared" ref="G17:G22" si="7">IF(SUM(E17:F17)=0,"-",SUM(E17:F17))</f>
        <v>-</v>
      </c>
      <c r="H17" s="295">
        <f t="shared" ref="H17:H22" si="8">SUM(B17,E17)</f>
        <v>93284</v>
      </c>
      <c r="I17" s="295">
        <f t="shared" ref="I17:I22" si="9">SUM(C17,F17)</f>
        <v>88907</v>
      </c>
      <c r="J17" s="298">
        <f t="shared" ref="J17:J22" si="10">IF(SUM(H17:I17)=0,"-",SUM(H17:I17))</f>
        <v>182191</v>
      </c>
    </row>
    <row r="18" spans="1:10" ht="12.75" customHeight="1">
      <c r="A18" s="261" t="s">
        <v>1395</v>
      </c>
      <c r="B18" s="67">
        <v>89053</v>
      </c>
      <c r="C18" s="67">
        <v>85638</v>
      </c>
      <c r="D18" s="81">
        <f t="shared" si="3"/>
        <v>174691</v>
      </c>
      <c r="E18" s="67" t="s">
        <v>1384</v>
      </c>
      <c r="F18" s="67" t="s">
        <v>1384</v>
      </c>
      <c r="G18" s="81" t="str">
        <f t="shared" si="7"/>
        <v>-</v>
      </c>
      <c r="H18" s="295">
        <f t="shared" si="8"/>
        <v>89053</v>
      </c>
      <c r="I18" s="295">
        <f t="shared" si="9"/>
        <v>85638</v>
      </c>
      <c r="J18" s="298">
        <f t="shared" si="10"/>
        <v>174691</v>
      </c>
    </row>
    <row r="19" spans="1:10" ht="12.75" customHeight="1">
      <c r="A19" s="261" t="s">
        <v>1396</v>
      </c>
      <c r="B19" s="67">
        <v>53236</v>
      </c>
      <c r="C19" s="67">
        <v>51401</v>
      </c>
      <c r="D19" s="81">
        <f t="shared" si="3"/>
        <v>104637</v>
      </c>
      <c r="E19" s="67" t="s">
        <v>1384</v>
      </c>
      <c r="F19" s="67" t="s">
        <v>1384</v>
      </c>
      <c r="G19" s="81" t="str">
        <f t="shared" si="7"/>
        <v>-</v>
      </c>
      <c r="H19" s="295">
        <f t="shared" si="8"/>
        <v>53236</v>
      </c>
      <c r="I19" s="295">
        <f t="shared" si="9"/>
        <v>51401</v>
      </c>
      <c r="J19" s="298">
        <f t="shared" si="10"/>
        <v>104637</v>
      </c>
    </row>
    <row r="20" spans="1:10" ht="12.75" customHeight="1">
      <c r="A20" s="261" t="s">
        <v>1397</v>
      </c>
      <c r="B20" s="67">
        <v>54543</v>
      </c>
      <c r="C20" s="67">
        <v>51795</v>
      </c>
      <c r="D20" s="81">
        <f t="shared" si="3"/>
        <v>106338</v>
      </c>
      <c r="E20" s="67" t="s">
        <v>1384</v>
      </c>
      <c r="F20" s="67" t="s">
        <v>1384</v>
      </c>
      <c r="G20" s="81" t="str">
        <f t="shared" si="7"/>
        <v>-</v>
      </c>
      <c r="H20" s="295">
        <f t="shared" si="8"/>
        <v>54543</v>
      </c>
      <c r="I20" s="295">
        <f t="shared" si="9"/>
        <v>51795</v>
      </c>
      <c r="J20" s="298">
        <f t="shared" si="10"/>
        <v>106338</v>
      </c>
    </row>
    <row r="21" spans="1:10" ht="12.75" customHeight="1">
      <c r="A21" s="261" t="s">
        <v>1399</v>
      </c>
      <c r="B21" s="67">
        <v>41886</v>
      </c>
      <c r="C21" s="67">
        <v>39733</v>
      </c>
      <c r="D21" s="81">
        <f t="shared" si="3"/>
        <v>81619</v>
      </c>
      <c r="E21" s="67" t="s">
        <v>1384</v>
      </c>
      <c r="F21" s="67" t="s">
        <v>1384</v>
      </c>
      <c r="G21" s="81" t="str">
        <f t="shared" si="7"/>
        <v>-</v>
      </c>
      <c r="H21" s="295">
        <f t="shared" si="8"/>
        <v>41886</v>
      </c>
      <c r="I21" s="295">
        <f t="shared" si="9"/>
        <v>39733</v>
      </c>
      <c r="J21" s="298">
        <f t="shared" si="10"/>
        <v>81619</v>
      </c>
    </row>
    <row r="22" spans="1:10" ht="12.75" customHeight="1">
      <c r="A22" s="261" t="s">
        <v>1400</v>
      </c>
      <c r="B22" s="67" t="s">
        <v>1384</v>
      </c>
      <c r="C22" s="67" t="s">
        <v>1384</v>
      </c>
      <c r="D22" s="81" t="str">
        <f t="shared" si="3"/>
        <v>-</v>
      </c>
      <c r="E22" s="67">
        <v>89893</v>
      </c>
      <c r="F22" s="67">
        <v>80780</v>
      </c>
      <c r="G22" s="81">
        <f t="shared" si="7"/>
        <v>170673</v>
      </c>
      <c r="H22" s="295">
        <f t="shared" si="8"/>
        <v>89893</v>
      </c>
      <c r="I22" s="295">
        <f t="shared" si="9"/>
        <v>80780</v>
      </c>
      <c r="J22" s="298">
        <f t="shared" si="10"/>
        <v>170673</v>
      </c>
    </row>
    <row r="23" spans="1:10" ht="12.75" customHeight="1">
      <c r="A23" s="180" t="s">
        <v>844</v>
      </c>
      <c r="B23" s="178">
        <f t="shared" ref="B23:J23" si="11">SUM(B24:B29)</f>
        <v>410718</v>
      </c>
      <c r="C23" s="178">
        <f t="shared" si="11"/>
        <v>391825</v>
      </c>
      <c r="D23" s="179">
        <f t="shared" si="11"/>
        <v>802543</v>
      </c>
      <c r="E23" s="178">
        <f t="shared" si="11"/>
        <v>12858</v>
      </c>
      <c r="F23" s="178">
        <f t="shared" si="11"/>
        <v>12322</v>
      </c>
      <c r="G23" s="179">
        <f t="shared" si="11"/>
        <v>25180</v>
      </c>
      <c r="H23" s="178">
        <f t="shared" si="11"/>
        <v>423576</v>
      </c>
      <c r="I23" s="178">
        <f t="shared" si="11"/>
        <v>404147</v>
      </c>
      <c r="J23" s="179">
        <f t="shared" si="11"/>
        <v>827723</v>
      </c>
    </row>
    <row r="24" spans="1:10" ht="12.75" customHeight="1">
      <c r="A24" s="261" t="s">
        <v>1269</v>
      </c>
      <c r="B24" s="67">
        <v>77651</v>
      </c>
      <c r="C24" s="67">
        <v>73958</v>
      </c>
      <c r="D24" s="81">
        <f t="shared" si="3"/>
        <v>151609</v>
      </c>
      <c r="E24" s="67" t="s">
        <v>1384</v>
      </c>
      <c r="F24" s="67" t="s">
        <v>1384</v>
      </c>
      <c r="G24" s="81" t="str">
        <f t="shared" ref="G24:G29" si="12">IF(SUM(E24:F24)=0,"-",SUM(E24:F24))</f>
        <v>-</v>
      </c>
      <c r="H24" s="295">
        <f t="shared" ref="H24:H29" si="13">SUM(B24,E24)</f>
        <v>77651</v>
      </c>
      <c r="I24" s="295">
        <f t="shared" ref="I24:I29" si="14">SUM(C24,F24)</f>
        <v>73958</v>
      </c>
      <c r="J24" s="298">
        <f t="shared" ref="J24:J29" si="15">IF(SUM(H24:I24)=0,"-",SUM(H24:I24))</f>
        <v>151609</v>
      </c>
    </row>
    <row r="25" spans="1:10" ht="12.75" customHeight="1">
      <c r="A25" s="261" t="s">
        <v>1270</v>
      </c>
      <c r="B25" s="67">
        <v>77268</v>
      </c>
      <c r="C25" s="67">
        <v>73283</v>
      </c>
      <c r="D25" s="81">
        <f t="shared" si="3"/>
        <v>150551</v>
      </c>
      <c r="E25" s="67" t="s">
        <v>1384</v>
      </c>
      <c r="F25" s="67" t="s">
        <v>1384</v>
      </c>
      <c r="G25" s="81" t="str">
        <f t="shared" si="12"/>
        <v>-</v>
      </c>
      <c r="H25" s="295">
        <f t="shared" si="13"/>
        <v>77268</v>
      </c>
      <c r="I25" s="295">
        <f t="shared" si="14"/>
        <v>73283</v>
      </c>
      <c r="J25" s="298">
        <f t="shared" si="15"/>
        <v>150551</v>
      </c>
    </row>
    <row r="26" spans="1:10" ht="12.75" customHeight="1">
      <c r="A26" s="261" t="s">
        <v>1412</v>
      </c>
      <c r="B26" s="67">
        <v>101643</v>
      </c>
      <c r="C26" s="67">
        <v>97255</v>
      </c>
      <c r="D26" s="81">
        <f t="shared" si="3"/>
        <v>198898</v>
      </c>
      <c r="E26" s="67" t="s">
        <v>1384</v>
      </c>
      <c r="F26" s="67" t="s">
        <v>1384</v>
      </c>
      <c r="G26" s="81" t="str">
        <f t="shared" si="12"/>
        <v>-</v>
      </c>
      <c r="H26" s="295">
        <f t="shared" si="13"/>
        <v>101643</v>
      </c>
      <c r="I26" s="295">
        <f t="shared" si="14"/>
        <v>97255</v>
      </c>
      <c r="J26" s="298">
        <f t="shared" si="15"/>
        <v>198898</v>
      </c>
    </row>
    <row r="27" spans="1:10" ht="12.75" customHeight="1">
      <c r="A27" s="261" t="s">
        <v>1413</v>
      </c>
      <c r="B27" s="67">
        <v>74036</v>
      </c>
      <c r="C27" s="67">
        <v>71018</v>
      </c>
      <c r="D27" s="81">
        <f t="shared" si="3"/>
        <v>145054</v>
      </c>
      <c r="E27" s="67" t="s">
        <v>1384</v>
      </c>
      <c r="F27" s="67" t="s">
        <v>1384</v>
      </c>
      <c r="G27" s="81" t="str">
        <f t="shared" si="12"/>
        <v>-</v>
      </c>
      <c r="H27" s="295">
        <f t="shared" si="13"/>
        <v>74036</v>
      </c>
      <c r="I27" s="295">
        <f t="shared" si="14"/>
        <v>71018</v>
      </c>
      <c r="J27" s="298">
        <f t="shared" si="15"/>
        <v>145054</v>
      </c>
    </row>
    <row r="28" spans="1:10" ht="12.75" customHeight="1">
      <c r="A28" s="261" t="s">
        <v>1414</v>
      </c>
      <c r="B28" s="67">
        <v>80120</v>
      </c>
      <c r="C28" s="67">
        <v>76311</v>
      </c>
      <c r="D28" s="81">
        <f t="shared" si="3"/>
        <v>156431</v>
      </c>
      <c r="E28" s="67" t="s">
        <v>1384</v>
      </c>
      <c r="F28" s="67" t="s">
        <v>1384</v>
      </c>
      <c r="G28" s="81" t="str">
        <f t="shared" si="12"/>
        <v>-</v>
      </c>
      <c r="H28" s="295">
        <f t="shared" si="13"/>
        <v>80120</v>
      </c>
      <c r="I28" s="295">
        <f t="shared" si="14"/>
        <v>76311</v>
      </c>
      <c r="J28" s="298">
        <f t="shared" si="15"/>
        <v>156431</v>
      </c>
    </row>
    <row r="29" spans="1:10" ht="12.75" customHeight="1">
      <c r="A29" s="261" t="s">
        <v>1415</v>
      </c>
      <c r="B29" s="67" t="s">
        <v>1384</v>
      </c>
      <c r="C29" s="67" t="s">
        <v>1384</v>
      </c>
      <c r="D29" s="81" t="str">
        <f t="shared" si="3"/>
        <v>-</v>
      </c>
      <c r="E29" s="67">
        <v>12858</v>
      </c>
      <c r="F29" s="67">
        <v>12322</v>
      </c>
      <c r="G29" s="81">
        <f t="shared" si="12"/>
        <v>25180</v>
      </c>
      <c r="H29" s="295">
        <f t="shared" si="13"/>
        <v>12858</v>
      </c>
      <c r="I29" s="295">
        <f t="shared" si="14"/>
        <v>12322</v>
      </c>
      <c r="J29" s="298">
        <f t="shared" si="15"/>
        <v>25180</v>
      </c>
    </row>
    <row r="30" spans="1:10" ht="12.75" customHeight="1">
      <c r="A30" s="180" t="s">
        <v>1275</v>
      </c>
      <c r="B30" s="178">
        <f>SUM(B31:B39)</f>
        <v>575899</v>
      </c>
      <c r="C30" s="178">
        <f t="shared" ref="C30:J30" si="16">SUM(C31:C39)</f>
        <v>548635</v>
      </c>
      <c r="D30" s="179">
        <f t="shared" si="16"/>
        <v>1124534</v>
      </c>
      <c r="E30" s="178">
        <f t="shared" si="16"/>
        <v>40389</v>
      </c>
      <c r="F30" s="178">
        <f t="shared" si="16"/>
        <v>37124</v>
      </c>
      <c r="G30" s="179">
        <f t="shared" si="16"/>
        <v>77513</v>
      </c>
      <c r="H30" s="178">
        <f t="shared" si="16"/>
        <v>616288</v>
      </c>
      <c r="I30" s="178">
        <f t="shared" si="16"/>
        <v>585759</v>
      </c>
      <c r="J30" s="179">
        <f t="shared" si="16"/>
        <v>1202047</v>
      </c>
    </row>
    <row r="31" spans="1:10" ht="12.75" customHeight="1">
      <c r="A31" s="261" t="s">
        <v>1419</v>
      </c>
      <c r="B31" s="67">
        <v>58835</v>
      </c>
      <c r="C31" s="67">
        <v>55808</v>
      </c>
      <c r="D31" s="81">
        <f t="shared" si="3"/>
        <v>114643</v>
      </c>
      <c r="E31" s="67" t="s">
        <v>1384</v>
      </c>
      <c r="F31" s="67" t="s">
        <v>1384</v>
      </c>
      <c r="G31" s="81" t="str">
        <f t="shared" ref="G31:G39" si="17">IF(SUM(E31:F31)=0,"-",SUM(E31:F31))</f>
        <v>-</v>
      </c>
      <c r="H31" s="295">
        <f t="shared" ref="H31:H39" si="18">SUM(B31,E31)</f>
        <v>58835</v>
      </c>
      <c r="I31" s="295">
        <f t="shared" ref="I31:I39" si="19">SUM(C31,F31)</f>
        <v>55808</v>
      </c>
      <c r="J31" s="298">
        <f t="shared" ref="J31:J39" si="20">IF(SUM(H31:I31)=0,"-",SUM(H31:I31))</f>
        <v>114643</v>
      </c>
    </row>
    <row r="32" spans="1:10" ht="12.75" customHeight="1">
      <c r="A32" s="261" t="s">
        <v>1420</v>
      </c>
      <c r="B32" s="67">
        <v>60197</v>
      </c>
      <c r="C32" s="8">
        <v>57241</v>
      </c>
      <c r="D32" s="81">
        <f t="shared" si="3"/>
        <v>117438</v>
      </c>
      <c r="E32" s="67" t="s">
        <v>1384</v>
      </c>
      <c r="F32" s="67" t="s">
        <v>1384</v>
      </c>
      <c r="G32" s="81" t="str">
        <f t="shared" si="17"/>
        <v>-</v>
      </c>
      <c r="H32" s="295">
        <f t="shared" si="18"/>
        <v>60197</v>
      </c>
      <c r="I32" s="295">
        <f t="shared" si="19"/>
        <v>57241</v>
      </c>
      <c r="J32" s="298">
        <f t="shared" si="20"/>
        <v>117438</v>
      </c>
    </row>
    <row r="33" spans="1:10" ht="12.75" customHeight="1">
      <c r="A33" s="261" t="s">
        <v>1422</v>
      </c>
      <c r="B33" s="67">
        <v>85506</v>
      </c>
      <c r="C33" s="8">
        <v>82045</v>
      </c>
      <c r="D33" s="81">
        <f t="shared" si="3"/>
        <v>167551</v>
      </c>
      <c r="E33" s="67" t="s">
        <v>1384</v>
      </c>
      <c r="F33" s="67" t="s">
        <v>1384</v>
      </c>
      <c r="G33" s="81" t="str">
        <f t="shared" si="17"/>
        <v>-</v>
      </c>
      <c r="H33" s="295">
        <f t="shared" si="18"/>
        <v>85506</v>
      </c>
      <c r="I33" s="295">
        <f t="shared" si="19"/>
        <v>82045</v>
      </c>
      <c r="J33" s="298">
        <f t="shared" si="20"/>
        <v>167551</v>
      </c>
    </row>
    <row r="34" spans="1:10" ht="12.75" customHeight="1">
      <c r="A34" s="261" t="s">
        <v>1423</v>
      </c>
      <c r="B34" s="67">
        <v>74082</v>
      </c>
      <c r="C34" s="8">
        <v>71331</v>
      </c>
      <c r="D34" s="81">
        <f t="shared" si="3"/>
        <v>145413</v>
      </c>
      <c r="E34" s="67" t="s">
        <v>1384</v>
      </c>
      <c r="F34" s="67" t="s">
        <v>1384</v>
      </c>
      <c r="G34" s="81" t="str">
        <f t="shared" si="17"/>
        <v>-</v>
      </c>
      <c r="H34" s="295">
        <f t="shared" si="18"/>
        <v>74082</v>
      </c>
      <c r="I34" s="295">
        <f t="shared" si="19"/>
        <v>71331</v>
      </c>
      <c r="J34" s="298">
        <f t="shared" si="20"/>
        <v>145413</v>
      </c>
    </row>
    <row r="35" spans="1:10" ht="12.75" customHeight="1">
      <c r="A35" s="261" t="s">
        <v>1425</v>
      </c>
      <c r="B35" s="67">
        <v>70102</v>
      </c>
      <c r="C35" s="8">
        <v>67267</v>
      </c>
      <c r="D35" s="81">
        <f t="shared" si="3"/>
        <v>137369</v>
      </c>
      <c r="E35" s="67" t="s">
        <v>1384</v>
      </c>
      <c r="F35" s="67" t="s">
        <v>1384</v>
      </c>
      <c r="G35" s="81" t="str">
        <f t="shared" si="17"/>
        <v>-</v>
      </c>
      <c r="H35" s="295">
        <f t="shared" si="18"/>
        <v>70102</v>
      </c>
      <c r="I35" s="295">
        <f t="shared" si="19"/>
        <v>67267</v>
      </c>
      <c r="J35" s="298">
        <f t="shared" si="20"/>
        <v>137369</v>
      </c>
    </row>
    <row r="36" spans="1:10" ht="12.75" customHeight="1">
      <c r="A36" s="261" t="s">
        <v>1426</v>
      </c>
      <c r="B36" s="67">
        <v>77843</v>
      </c>
      <c r="C36" s="8">
        <v>73863</v>
      </c>
      <c r="D36" s="81">
        <f t="shared" si="3"/>
        <v>151706</v>
      </c>
      <c r="E36" s="67" t="s">
        <v>1384</v>
      </c>
      <c r="F36" s="67" t="s">
        <v>1384</v>
      </c>
      <c r="G36" s="81" t="str">
        <f t="shared" si="17"/>
        <v>-</v>
      </c>
      <c r="H36" s="295">
        <f t="shared" si="18"/>
        <v>77843</v>
      </c>
      <c r="I36" s="295">
        <f t="shared" si="19"/>
        <v>73863</v>
      </c>
      <c r="J36" s="298">
        <f t="shared" si="20"/>
        <v>151706</v>
      </c>
    </row>
    <row r="37" spans="1:10" ht="12.75" customHeight="1">
      <c r="A37" s="181" t="s">
        <v>1346</v>
      </c>
      <c r="B37" s="67">
        <v>78868</v>
      </c>
      <c r="C37" s="8">
        <v>74197</v>
      </c>
      <c r="D37" s="81">
        <f t="shared" si="3"/>
        <v>153065</v>
      </c>
      <c r="E37" s="67" t="s">
        <v>1384</v>
      </c>
      <c r="F37" s="67" t="s">
        <v>1384</v>
      </c>
      <c r="G37" s="81" t="str">
        <f t="shared" si="17"/>
        <v>-</v>
      </c>
      <c r="H37" s="295">
        <f t="shared" si="18"/>
        <v>78868</v>
      </c>
      <c r="I37" s="295">
        <f t="shared" si="19"/>
        <v>74197</v>
      </c>
      <c r="J37" s="298">
        <f t="shared" si="20"/>
        <v>153065</v>
      </c>
    </row>
    <row r="38" spans="1:10" ht="12.75" customHeight="1">
      <c r="A38" s="261" t="s">
        <v>1429</v>
      </c>
      <c r="B38" s="67">
        <v>70466</v>
      </c>
      <c r="C38" s="8">
        <v>66883</v>
      </c>
      <c r="D38" s="81">
        <f t="shared" si="3"/>
        <v>137349</v>
      </c>
      <c r="E38" s="67" t="s">
        <v>1384</v>
      </c>
      <c r="F38" s="67" t="s">
        <v>1384</v>
      </c>
      <c r="G38" s="81" t="str">
        <f t="shared" si="17"/>
        <v>-</v>
      </c>
      <c r="H38" s="295">
        <f t="shared" si="18"/>
        <v>70466</v>
      </c>
      <c r="I38" s="295">
        <f t="shared" si="19"/>
        <v>66883</v>
      </c>
      <c r="J38" s="298">
        <f t="shared" si="20"/>
        <v>137349</v>
      </c>
    </row>
    <row r="39" spans="1:10" ht="12.75" customHeight="1">
      <c r="A39" s="262" t="s">
        <v>1427</v>
      </c>
      <c r="B39" s="80" t="s">
        <v>1384</v>
      </c>
      <c r="C39" s="67" t="s">
        <v>1384</v>
      </c>
      <c r="D39" s="81" t="str">
        <f t="shared" si="3"/>
        <v>-</v>
      </c>
      <c r="E39" s="67">
        <v>40389</v>
      </c>
      <c r="F39" s="67">
        <v>37124</v>
      </c>
      <c r="G39" s="81">
        <f t="shared" si="17"/>
        <v>77513</v>
      </c>
      <c r="H39" s="295">
        <f t="shared" si="18"/>
        <v>40389</v>
      </c>
      <c r="I39" s="295">
        <f t="shared" si="19"/>
        <v>37124</v>
      </c>
      <c r="J39" s="298">
        <f t="shared" si="20"/>
        <v>77513</v>
      </c>
    </row>
    <row r="40" spans="1:10" ht="12.75" customHeight="1">
      <c r="A40" s="206" t="s">
        <v>398</v>
      </c>
      <c r="B40" s="207">
        <f>SUM(B7,B16,B23,B30)</f>
        <v>2077422</v>
      </c>
      <c r="C40" s="207">
        <f t="shared" ref="C40:J40" si="21">SUM(C7,C16,C23,C30)</f>
        <v>1973810</v>
      </c>
      <c r="D40" s="208">
        <f t="shared" si="21"/>
        <v>4051232</v>
      </c>
      <c r="E40" s="207">
        <f t="shared" si="21"/>
        <v>190900</v>
      </c>
      <c r="F40" s="207">
        <f t="shared" si="21"/>
        <v>175245</v>
      </c>
      <c r="G40" s="208">
        <f t="shared" si="21"/>
        <v>366145</v>
      </c>
      <c r="H40" s="207">
        <f t="shared" si="21"/>
        <v>2268322</v>
      </c>
      <c r="I40" s="207">
        <f t="shared" si="21"/>
        <v>2149055</v>
      </c>
      <c r="J40" s="208">
        <f t="shared" si="21"/>
        <v>4417377</v>
      </c>
    </row>
    <row r="41" spans="1:10">
      <c r="A41" s="1148" t="s">
        <v>1262</v>
      </c>
      <c r="B41" s="61"/>
      <c r="C41" s="61"/>
      <c r="D41" s="7"/>
      <c r="E41" s="61"/>
      <c r="F41" s="61"/>
      <c r="G41" s="7"/>
      <c r="H41" s="319"/>
      <c r="I41" s="319"/>
      <c r="J41" s="1063" t="s">
        <v>1130</v>
      </c>
    </row>
    <row r="42" spans="1:10">
      <c r="A42" s="61"/>
      <c r="B42" s="61"/>
      <c r="C42" s="61"/>
      <c r="D42" s="7"/>
      <c r="E42" s="61"/>
      <c r="F42" s="61"/>
      <c r="G42" s="7"/>
      <c r="J42" s="7"/>
    </row>
    <row r="43" spans="1:10">
      <c r="A43" s="61"/>
      <c r="B43" s="61"/>
      <c r="C43" s="61"/>
      <c r="D43" s="7"/>
      <c r="E43" s="61"/>
      <c r="F43" s="61"/>
      <c r="G43" s="7"/>
      <c r="J43" s="7"/>
    </row>
    <row r="44" spans="1:10">
      <c r="A44" s="61"/>
      <c r="B44" s="61"/>
      <c r="C44" s="61"/>
      <c r="D44" s="7"/>
      <c r="E44" s="61"/>
      <c r="F44" s="61"/>
      <c r="G44" s="7"/>
      <c r="J44" s="7"/>
    </row>
    <row r="45" spans="1:10">
      <c r="A45" s="61"/>
      <c r="B45" s="61"/>
      <c r="C45" s="61"/>
      <c r="D45" s="7"/>
      <c r="E45" s="61"/>
      <c r="F45" s="61"/>
      <c r="G45" s="7"/>
      <c r="J45" s="7"/>
    </row>
    <row r="46" spans="1:10">
      <c r="A46" s="61"/>
      <c r="B46" s="61"/>
      <c r="C46" s="61"/>
      <c r="D46" s="7"/>
      <c r="E46" s="61"/>
      <c r="F46" s="61"/>
      <c r="G46" s="7"/>
      <c r="J46" s="7"/>
    </row>
    <row r="47" spans="1:10">
      <c r="A47" s="61"/>
      <c r="B47" s="61"/>
      <c r="C47" s="61"/>
      <c r="D47" s="7"/>
      <c r="E47" s="62"/>
      <c r="F47" s="62"/>
      <c r="G47" s="7"/>
      <c r="J47" s="7"/>
    </row>
    <row r="48" spans="1:10">
      <c r="A48" s="61"/>
      <c r="B48" s="61"/>
      <c r="C48" s="61"/>
      <c r="D48" s="7"/>
      <c r="E48" s="62"/>
      <c r="F48" s="62"/>
      <c r="G48" s="7"/>
      <c r="J48" s="7"/>
    </row>
    <row r="49" spans="1:10">
      <c r="A49" s="61"/>
      <c r="B49" s="61"/>
      <c r="C49" s="61"/>
      <c r="D49" s="7"/>
      <c r="E49" s="62"/>
      <c r="F49" s="62"/>
      <c r="G49" s="7"/>
      <c r="J49" s="7"/>
    </row>
    <row r="50" spans="1:10">
      <c r="A50" s="61"/>
      <c r="B50" s="61"/>
      <c r="C50" s="61"/>
      <c r="D50" s="7"/>
      <c r="E50" s="62"/>
      <c r="F50" s="62"/>
      <c r="G50" s="7"/>
      <c r="J50" s="7"/>
    </row>
    <row r="51" spans="1:10">
      <c r="A51" s="61"/>
      <c r="B51" s="61"/>
      <c r="C51" s="61"/>
      <c r="D51" s="7"/>
      <c r="E51" s="62"/>
      <c r="F51" s="62"/>
      <c r="G51" s="7"/>
      <c r="J51" s="7"/>
    </row>
    <row r="52" spans="1:10">
      <c r="A52" s="61"/>
      <c r="B52" s="61"/>
      <c r="C52" s="61"/>
      <c r="D52" s="7"/>
      <c r="E52" s="62"/>
      <c r="F52" s="62"/>
      <c r="G52" s="7"/>
      <c r="J52" s="7"/>
    </row>
    <row r="53" spans="1:10">
      <c r="A53" s="61"/>
      <c r="B53" s="61"/>
      <c r="C53" s="61"/>
      <c r="D53" s="7"/>
      <c r="E53" s="62"/>
      <c r="F53" s="62"/>
      <c r="G53" s="7"/>
      <c r="J53" s="7"/>
    </row>
    <row r="54" spans="1:10">
      <c r="A54" s="61"/>
      <c r="B54" s="61"/>
      <c r="C54" s="61"/>
      <c r="D54" s="7"/>
      <c r="E54" s="62"/>
      <c r="F54" s="62"/>
      <c r="G54" s="7"/>
      <c r="J54" s="7"/>
    </row>
    <row r="55" spans="1:10">
      <c r="A55" s="61"/>
      <c r="B55" s="61"/>
      <c r="C55" s="61"/>
      <c r="D55" s="7"/>
      <c r="E55" s="62"/>
      <c r="F55" s="62"/>
      <c r="G55" s="7"/>
      <c r="J55" s="7"/>
    </row>
    <row r="56" spans="1:10">
      <c r="A56" s="61"/>
      <c r="B56" s="61"/>
      <c r="C56" s="61"/>
      <c r="D56" s="7"/>
      <c r="E56" s="62"/>
      <c r="F56" s="62"/>
      <c r="G56" s="7"/>
      <c r="J56" s="7"/>
    </row>
    <row r="57" spans="1:10">
      <c r="A57" s="61"/>
      <c r="B57" s="61"/>
      <c r="C57" s="61"/>
      <c r="D57" s="7"/>
      <c r="E57" s="62"/>
      <c r="F57" s="62"/>
      <c r="G57" s="7"/>
      <c r="J57" s="7"/>
    </row>
    <row r="58" spans="1:10">
      <c r="A58" s="61"/>
      <c r="B58" s="61"/>
      <c r="C58" s="61"/>
      <c r="D58" s="7"/>
      <c r="E58" s="62"/>
      <c r="F58" s="62"/>
      <c r="G58" s="7"/>
      <c r="J58" s="7"/>
    </row>
    <row r="59" spans="1:10">
      <c r="A59" s="61"/>
      <c r="B59" s="61"/>
      <c r="C59" s="61"/>
      <c r="D59" s="7"/>
      <c r="E59" s="62"/>
      <c r="F59" s="62"/>
      <c r="G59" s="7"/>
      <c r="J59" s="7"/>
    </row>
    <row r="60" spans="1:10">
      <c r="A60" s="61"/>
      <c r="B60" s="61"/>
      <c r="C60" s="61"/>
      <c r="D60" s="7"/>
      <c r="E60" s="61"/>
      <c r="F60" s="61"/>
      <c r="G60" s="7"/>
      <c r="J60" s="7"/>
    </row>
    <row r="61" spans="1:10">
      <c r="A61" s="7"/>
      <c r="B61" s="7"/>
      <c r="C61" s="7"/>
      <c r="D61" s="7"/>
      <c r="E61" s="7"/>
      <c r="F61" s="7"/>
      <c r="G61" s="7"/>
      <c r="H61" s="7"/>
      <c r="I61" s="7"/>
      <c r="J61" s="7"/>
    </row>
  </sheetData>
  <mergeCells count="6">
    <mergeCell ref="A1:J1"/>
    <mergeCell ref="A2:J2"/>
    <mergeCell ref="E4:G4"/>
    <mergeCell ref="H4:J4"/>
    <mergeCell ref="A4:A5"/>
    <mergeCell ref="B4:D4"/>
  </mergeCells>
  <phoneticPr fontId="0" type="noConversion"/>
  <printOptions horizontalCentered="1"/>
  <pageMargins left="0.1" right="0.1" top="0.77" bottom="0.1" header="0.85" footer="0.1"/>
  <pageSetup paperSize="9" orientation="landscape" blackAndWhite="1" r:id="rId1"/>
  <headerFooter alignWithMargins="0"/>
</worksheet>
</file>

<file path=xl/worksheets/sheet13.xml><?xml version="1.0" encoding="utf-8"?>
<worksheet xmlns="http://schemas.openxmlformats.org/spreadsheetml/2006/main" xmlns:r="http://schemas.openxmlformats.org/officeDocument/2006/relationships">
  <sheetPr codeName="Sheet43"/>
  <dimension ref="A1:M62"/>
  <sheetViews>
    <sheetView workbookViewId="0">
      <selection activeCell="C3" sqref="C3"/>
    </sheetView>
  </sheetViews>
  <sheetFormatPr defaultRowHeight="12.75"/>
  <cols>
    <col min="1" max="1" width="22.85546875" customWidth="1"/>
    <col min="2" max="10" width="11.85546875" customWidth="1"/>
  </cols>
  <sheetData>
    <row r="1" spans="1:13" ht="12.75" customHeight="1">
      <c r="A1" s="1893" t="s">
        <v>450</v>
      </c>
      <c r="B1" s="1893"/>
      <c r="C1" s="1893"/>
      <c r="D1" s="1893"/>
      <c r="E1" s="1893"/>
      <c r="F1" s="1893"/>
      <c r="G1" s="1893"/>
      <c r="H1" s="1893"/>
      <c r="I1" s="1893"/>
      <c r="J1" s="1893"/>
    </row>
    <row r="2" spans="1:13" ht="14.25" customHeight="1">
      <c r="A2" s="1894" t="str">
        <f>CONCATENATE("Distribution of Rural and Urban Population by sex in the district of ",District!$A$1,", 2011")</f>
        <v>Distribution of Rural and Urban Population by sex in the district of Purba Medinipur, 2011</v>
      </c>
      <c r="B2" s="1894"/>
      <c r="C2" s="1894"/>
      <c r="D2" s="1894"/>
      <c r="E2" s="1894"/>
      <c r="F2" s="1894"/>
      <c r="G2" s="1894"/>
      <c r="H2" s="1894"/>
      <c r="I2" s="1894"/>
      <c r="J2" s="1894"/>
    </row>
    <row r="3" spans="1:13" ht="12" customHeight="1">
      <c r="A3" s="4"/>
      <c r="B3" s="4"/>
      <c r="C3" s="4"/>
      <c r="D3" s="4"/>
      <c r="E3" s="4"/>
      <c r="F3" s="4"/>
      <c r="G3" s="4"/>
      <c r="H3" s="4"/>
      <c r="I3" s="4"/>
      <c r="J3" s="194" t="s">
        <v>1001</v>
      </c>
      <c r="K3" s="7"/>
    </row>
    <row r="4" spans="1:13" ht="12.75" customHeight="1">
      <c r="A4" s="1837" t="s">
        <v>1181</v>
      </c>
      <c r="B4" s="1896" t="s">
        <v>1203</v>
      </c>
      <c r="C4" s="1896"/>
      <c r="D4" s="1897"/>
      <c r="E4" s="1895" t="s">
        <v>1204</v>
      </c>
      <c r="F4" s="1896"/>
      <c r="G4" s="1897"/>
      <c r="H4" s="1898" t="s">
        <v>1098</v>
      </c>
      <c r="I4" s="1899"/>
      <c r="J4" s="1900"/>
    </row>
    <row r="5" spans="1:13">
      <c r="A5" s="1838"/>
      <c r="B5" s="168" t="s">
        <v>1040</v>
      </c>
      <c r="C5" s="168" t="s">
        <v>1041</v>
      </c>
      <c r="D5" s="167" t="s">
        <v>979</v>
      </c>
      <c r="E5" s="166" t="s">
        <v>1040</v>
      </c>
      <c r="F5" s="168" t="s">
        <v>1041</v>
      </c>
      <c r="G5" s="167" t="s">
        <v>979</v>
      </c>
      <c r="H5" s="158" t="s">
        <v>1040</v>
      </c>
      <c r="I5" s="183" t="s">
        <v>1041</v>
      </c>
      <c r="J5" s="159" t="s">
        <v>979</v>
      </c>
    </row>
    <row r="6" spans="1:13">
      <c r="A6" s="205" t="s">
        <v>955</v>
      </c>
      <c r="B6" s="176" t="s">
        <v>956</v>
      </c>
      <c r="C6" s="176" t="s">
        <v>957</v>
      </c>
      <c r="D6" s="174" t="s">
        <v>958</v>
      </c>
      <c r="E6" s="176" t="s">
        <v>959</v>
      </c>
      <c r="F6" s="176" t="s">
        <v>961</v>
      </c>
      <c r="G6" s="174" t="s">
        <v>962</v>
      </c>
      <c r="H6" s="176" t="s">
        <v>990</v>
      </c>
      <c r="I6" s="176" t="s">
        <v>991</v>
      </c>
      <c r="J6" s="174" t="s">
        <v>992</v>
      </c>
      <c r="L6" s="7"/>
      <c r="M6" s="7"/>
    </row>
    <row r="7" spans="1:13" ht="12.75" customHeight="1">
      <c r="A7" s="177" t="s">
        <v>1273</v>
      </c>
      <c r="B7" s="178">
        <f>SUM(B8:B15)</f>
        <v>813715</v>
      </c>
      <c r="C7" s="178">
        <f>SUM(C8:C15)</f>
        <v>760317</v>
      </c>
      <c r="D7" s="179">
        <f>SUM(D8:D15)</f>
        <v>1574032</v>
      </c>
      <c r="E7" s="178">
        <f t="shared" ref="E7:J7" si="0">SUM(E8:E16)</f>
        <v>111528</v>
      </c>
      <c r="F7" s="178">
        <f t="shared" si="0"/>
        <v>106135</v>
      </c>
      <c r="G7" s="179">
        <f t="shared" si="0"/>
        <v>217663</v>
      </c>
      <c r="H7" s="178">
        <f t="shared" si="0"/>
        <v>925243</v>
      </c>
      <c r="I7" s="178">
        <f t="shared" si="0"/>
        <v>866452</v>
      </c>
      <c r="J7" s="179">
        <f t="shared" si="0"/>
        <v>1791695</v>
      </c>
    </row>
    <row r="8" spans="1:13" ht="12.75" customHeight="1">
      <c r="A8" s="261" t="s">
        <v>200</v>
      </c>
      <c r="B8" s="67">
        <v>106904</v>
      </c>
      <c r="C8" s="67">
        <v>100160</v>
      </c>
      <c r="D8" s="81">
        <f t="shared" ref="D8:D16" si="1">IF(SUM(B8:C8)=0,"-",SUM(B8:C8))</f>
        <v>207064</v>
      </c>
      <c r="E8" s="67">
        <v>5554</v>
      </c>
      <c r="F8" s="67">
        <v>5158</v>
      </c>
      <c r="G8" s="81">
        <f t="shared" ref="G8:G16" si="2">IF(SUM(E8:F8)=0,"-",SUM(E8:F8))</f>
        <v>10712</v>
      </c>
      <c r="H8" s="295">
        <f t="shared" ref="H8:I16" si="3">SUM(B8,E8)</f>
        <v>112458</v>
      </c>
      <c r="I8" s="295">
        <f t="shared" si="3"/>
        <v>105318</v>
      </c>
      <c r="J8" s="298">
        <f t="shared" ref="J8:J16" si="4">IF(SUM(H8:I8)=0,"-",SUM(H8:I8))</f>
        <v>217776</v>
      </c>
    </row>
    <row r="9" spans="1:13" ht="12.75" customHeight="1">
      <c r="A9" s="261" t="s">
        <v>1386</v>
      </c>
      <c r="B9" s="67">
        <v>95352</v>
      </c>
      <c r="C9" s="67">
        <v>88635</v>
      </c>
      <c r="D9" s="81">
        <f t="shared" si="1"/>
        <v>183987</v>
      </c>
      <c r="E9" s="67">
        <v>7792</v>
      </c>
      <c r="F9" s="67">
        <v>7431</v>
      </c>
      <c r="G9" s="81">
        <f t="shared" si="2"/>
        <v>15223</v>
      </c>
      <c r="H9" s="295">
        <f t="shared" si="3"/>
        <v>103144</v>
      </c>
      <c r="I9" s="295">
        <f t="shared" si="3"/>
        <v>96066</v>
      </c>
      <c r="J9" s="298">
        <f t="shared" si="4"/>
        <v>199210</v>
      </c>
    </row>
    <row r="10" spans="1:13" ht="12.75" customHeight="1">
      <c r="A10" s="261" t="s">
        <v>1388</v>
      </c>
      <c r="B10" s="67">
        <v>145563</v>
      </c>
      <c r="C10" s="67">
        <v>137740</v>
      </c>
      <c r="D10" s="81">
        <f t="shared" si="1"/>
        <v>283303</v>
      </c>
      <c r="E10" s="67" t="s">
        <v>1384</v>
      </c>
      <c r="F10" s="67" t="s">
        <v>1384</v>
      </c>
      <c r="G10" s="81" t="str">
        <f t="shared" si="2"/>
        <v>-</v>
      </c>
      <c r="H10" s="295">
        <f t="shared" si="3"/>
        <v>145563</v>
      </c>
      <c r="I10" s="295">
        <f t="shared" si="3"/>
        <v>137740</v>
      </c>
      <c r="J10" s="298">
        <f t="shared" si="4"/>
        <v>283303</v>
      </c>
    </row>
    <row r="11" spans="1:13" ht="12.75" customHeight="1">
      <c r="A11" s="182" t="s">
        <v>1385</v>
      </c>
      <c r="B11" s="67">
        <v>124283</v>
      </c>
      <c r="C11" s="67">
        <v>115363</v>
      </c>
      <c r="D11" s="81">
        <f t="shared" si="1"/>
        <v>239646</v>
      </c>
      <c r="E11" s="67">
        <v>25963</v>
      </c>
      <c r="F11" s="67">
        <v>24515</v>
      </c>
      <c r="G11" s="81">
        <f t="shared" si="2"/>
        <v>50478</v>
      </c>
      <c r="H11" s="295">
        <f t="shared" si="3"/>
        <v>150246</v>
      </c>
      <c r="I11" s="295">
        <f t="shared" si="3"/>
        <v>139878</v>
      </c>
      <c r="J11" s="298">
        <f t="shared" si="4"/>
        <v>290124</v>
      </c>
    </row>
    <row r="12" spans="1:13" ht="12.75" customHeight="1">
      <c r="A12" s="261" t="s">
        <v>1390</v>
      </c>
      <c r="B12" s="67">
        <v>114551</v>
      </c>
      <c r="C12" s="67">
        <v>105779</v>
      </c>
      <c r="D12" s="81">
        <f t="shared" si="1"/>
        <v>220330</v>
      </c>
      <c r="E12" s="67">
        <v>3438</v>
      </c>
      <c r="F12" s="67">
        <v>3159</v>
      </c>
      <c r="G12" s="81">
        <f t="shared" si="2"/>
        <v>6597</v>
      </c>
      <c r="H12" s="295">
        <f t="shared" si="3"/>
        <v>117989</v>
      </c>
      <c r="I12" s="295">
        <f t="shared" si="3"/>
        <v>108938</v>
      </c>
      <c r="J12" s="298">
        <f t="shared" si="4"/>
        <v>226927</v>
      </c>
    </row>
    <row r="13" spans="1:13" ht="12.75" customHeight="1">
      <c r="A13" s="261" t="s">
        <v>1391</v>
      </c>
      <c r="B13" s="67">
        <v>135720</v>
      </c>
      <c r="C13" s="67">
        <v>127278</v>
      </c>
      <c r="D13" s="81">
        <f t="shared" si="1"/>
        <v>262998</v>
      </c>
      <c r="E13" s="67" t="s">
        <v>1384</v>
      </c>
      <c r="F13" s="67" t="s">
        <v>1384</v>
      </c>
      <c r="G13" s="81" t="str">
        <f t="shared" si="2"/>
        <v>-</v>
      </c>
      <c r="H13" s="295">
        <f t="shared" si="3"/>
        <v>135720</v>
      </c>
      <c r="I13" s="295">
        <f t="shared" si="3"/>
        <v>127278</v>
      </c>
      <c r="J13" s="298">
        <f t="shared" si="4"/>
        <v>262998</v>
      </c>
    </row>
    <row r="14" spans="1:13" ht="12.75" customHeight="1">
      <c r="A14" s="181" t="s">
        <v>1392</v>
      </c>
      <c r="B14" s="67">
        <v>91342</v>
      </c>
      <c r="C14" s="67">
        <v>85362</v>
      </c>
      <c r="D14" s="81">
        <f t="shared" si="1"/>
        <v>176704</v>
      </c>
      <c r="E14" s="67">
        <v>5781</v>
      </c>
      <c r="F14" s="67">
        <v>5634</v>
      </c>
      <c r="G14" s="81">
        <f t="shared" si="2"/>
        <v>11415</v>
      </c>
      <c r="H14" s="295">
        <f t="shared" si="3"/>
        <v>97123</v>
      </c>
      <c r="I14" s="295">
        <f t="shared" si="3"/>
        <v>90996</v>
      </c>
      <c r="J14" s="298">
        <f t="shared" si="4"/>
        <v>188119</v>
      </c>
    </row>
    <row r="15" spans="1:13" ht="12.75" customHeight="1">
      <c r="A15" s="261" t="s">
        <v>1383</v>
      </c>
      <c r="B15" s="67" t="s">
        <v>1384</v>
      </c>
      <c r="C15" s="67" t="s">
        <v>1384</v>
      </c>
      <c r="D15" s="81" t="str">
        <f t="shared" si="1"/>
        <v>-</v>
      </c>
      <c r="E15" s="67">
        <v>33260</v>
      </c>
      <c r="F15" s="67">
        <v>32046</v>
      </c>
      <c r="G15" s="81">
        <f t="shared" si="2"/>
        <v>65306</v>
      </c>
      <c r="H15" s="295">
        <f t="shared" si="3"/>
        <v>33260</v>
      </c>
      <c r="I15" s="295">
        <f t="shared" si="3"/>
        <v>32046</v>
      </c>
      <c r="J15" s="298">
        <f t="shared" si="4"/>
        <v>65306</v>
      </c>
    </row>
    <row r="16" spans="1:13" ht="12.75" customHeight="1">
      <c r="A16" s="165" t="s">
        <v>1389</v>
      </c>
      <c r="B16" s="67" t="s">
        <v>1384</v>
      </c>
      <c r="C16" s="67" t="s">
        <v>1384</v>
      </c>
      <c r="D16" s="81" t="str">
        <f t="shared" si="1"/>
        <v>-</v>
      </c>
      <c r="E16" s="67">
        <v>29740</v>
      </c>
      <c r="F16" s="67">
        <v>28192</v>
      </c>
      <c r="G16" s="81">
        <f t="shared" si="2"/>
        <v>57932</v>
      </c>
      <c r="H16" s="295">
        <f t="shared" si="3"/>
        <v>29740</v>
      </c>
      <c r="I16" s="295">
        <f t="shared" si="3"/>
        <v>28192</v>
      </c>
      <c r="J16" s="298">
        <f t="shared" si="4"/>
        <v>57932</v>
      </c>
    </row>
    <row r="17" spans="1:10" ht="12.75" customHeight="1">
      <c r="A17" s="180" t="s">
        <v>1274</v>
      </c>
      <c r="B17" s="178">
        <f t="shared" ref="B17:J17" si="5">SUM(B18:B23)</f>
        <v>378927</v>
      </c>
      <c r="C17" s="178">
        <f t="shared" si="5"/>
        <v>357284</v>
      </c>
      <c r="D17" s="179">
        <f t="shared" si="5"/>
        <v>736211</v>
      </c>
      <c r="E17" s="178">
        <f>SUM(E18:E23)</f>
        <v>116495</v>
      </c>
      <c r="F17" s="178">
        <f t="shared" si="5"/>
        <v>107228</v>
      </c>
      <c r="G17" s="179">
        <f t="shared" si="5"/>
        <v>223723</v>
      </c>
      <c r="H17" s="178">
        <f t="shared" si="5"/>
        <v>495422</v>
      </c>
      <c r="I17" s="178">
        <f t="shared" si="5"/>
        <v>464512</v>
      </c>
      <c r="J17" s="179">
        <f t="shared" si="5"/>
        <v>959934</v>
      </c>
    </row>
    <row r="18" spans="1:10" ht="12.75" customHeight="1">
      <c r="A18" s="261" t="s">
        <v>1393</v>
      </c>
      <c r="B18" s="67">
        <v>103023</v>
      </c>
      <c r="C18" s="67">
        <v>96590</v>
      </c>
      <c r="D18" s="81">
        <f t="shared" ref="D18:D23" si="6">IF(SUM(B18:C18)=0,"-",SUM(B18:C18))</f>
        <v>199613</v>
      </c>
      <c r="E18" s="67">
        <v>3368</v>
      </c>
      <c r="F18" s="67">
        <v>3296</v>
      </c>
      <c r="G18" s="81">
        <f t="shared" ref="G18:G23" si="7">IF(SUM(E18:F18)=0,"-",SUM(E18:F18))</f>
        <v>6664</v>
      </c>
      <c r="H18" s="295">
        <f t="shared" ref="H18:I23" si="8">SUM(B18,E18)</f>
        <v>106391</v>
      </c>
      <c r="I18" s="295">
        <f t="shared" si="8"/>
        <v>99886</v>
      </c>
      <c r="J18" s="298">
        <f t="shared" ref="J18:J23" si="9">IF(SUM(H18:I18)=0,"-",SUM(H18:I18))</f>
        <v>206277</v>
      </c>
    </row>
    <row r="19" spans="1:10" ht="12.75" customHeight="1">
      <c r="A19" s="261" t="s">
        <v>1395</v>
      </c>
      <c r="B19" s="67">
        <v>103880</v>
      </c>
      <c r="C19" s="67">
        <v>98152</v>
      </c>
      <c r="D19" s="81">
        <f t="shared" si="6"/>
        <v>202032</v>
      </c>
      <c r="E19" s="67">
        <v>2947</v>
      </c>
      <c r="F19" s="67">
        <v>2856</v>
      </c>
      <c r="G19" s="81">
        <f t="shared" si="7"/>
        <v>5803</v>
      </c>
      <c r="H19" s="295">
        <f t="shared" si="8"/>
        <v>106827</v>
      </c>
      <c r="I19" s="295">
        <f t="shared" si="8"/>
        <v>101008</v>
      </c>
      <c r="J19" s="298">
        <f t="shared" si="9"/>
        <v>207835</v>
      </c>
    </row>
    <row r="20" spans="1:10" ht="12.75" customHeight="1">
      <c r="A20" s="261" t="s">
        <v>1396</v>
      </c>
      <c r="B20" s="67">
        <v>60601</v>
      </c>
      <c r="C20" s="67">
        <v>57344</v>
      </c>
      <c r="D20" s="81">
        <f t="shared" si="6"/>
        <v>117945</v>
      </c>
      <c r="E20" s="67">
        <v>2722</v>
      </c>
      <c r="F20" s="67">
        <v>2552</v>
      </c>
      <c r="G20" s="81">
        <f t="shared" si="7"/>
        <v>5274</v>
      </c>
      <c r="H20" s="295">
        <f t="shared" si="8"/>
        <v>63323</v>
      </c>
      <c r="I20" s="295">
        <f t="shared" si="8"/>
        <v>59896</v>
      </c>
      <c r="J20" s="298">
        <f t="shared" si="9"/>
        <v>123219</v>
      </c>
    </row>
    <row r="21" spans="1:10" ht="12.75" customHeight="1">
      <c r="A21" s="261" t="s">
        <v>1397</v>
      </c>
      <c r="B21" s="67">
        <v>60892</v>
      </c>
      <c r="C21" s="67">
        <v>57737</v>
      </c>
      <c r="D21" s="81">
        <f t="shared" si="6"/>
        <v>118629</v>
      </c>
      <c r="E21" s="67">
        <v>2617</v>
      </c>
      <c r="F21" s="67">
        <v>2538</v>
      </c>
      <c r="G21" s="81">
        <f t="shared" si="7"/>
        <v>5155</v>
      </c>
      <c r="H21" s="295">
        <f t="shared" si="8"/>
        <v>63509</v>
      </c>
      <c r="I21" s="295">
        <f t="shared" si="8"/>
        <v>60275</v>
      </c>
      <c r="J21" s="298">
        <f t="shared" si="9"/>
        <v>123784</v>
      </c>
    </row>
    <row r="22" spans="1:10" ht="12.75" customHeight="1">
      <c r="A22" s="261" t="s">
        <v>1399</v>
      </c>
      <c r="B22" s="67">
        <v>50531</v>
      </c>
      <c r="C22" s="67">
        <v>47461</v>
      </c>
      <c r="D22" s="81">
        <f t="shared" si="6"/>
        <v>97992</v>
      </c>
      <c r="E22" s="67" t="s">
        <v>1384</v>
      </c>
      <c r="F22" s="67" t="s">
        <v>1384</v>
      </c>
      <c r="G22" s="81" t="str">
        <f t="shared" si="7"/>
        <v>-</v>
      </c>
      <c r="H22" s="295">
        <f t="shared" si="8"/>
        <v>50531</v>
      </c>
      <c r="I22" s="295">
        <f t="shared" si="8"/>
        <v>47461</v>
      </c>
      <c r="J22" s="298">
        <f t="shared" si="9"/>
        <v>97992</v>
      </c>
    </row>
    <row r="23" spans="1:10" ht="12.75" customHeight="1">
      <c r="A23" s="261" t="s">
        <v>1400</v>
      </c>
      <c r="B23" s="67" t="s">
        <v>1384</v>
      </c>
      <c r="C23" s="67" t="s">
        <v>1384</v>
      </c>
      <c r="D23" s="81" t="str">
        <f t="shared" si="6"/>
        <v>-</v>
      </c>
      <c r="E23" s="67">
        <v>104841</v>
      </c>
      <c r="F23" s="67">
        <v>95986</v>
      </c>
      <c r="G23" s="81">
        <f t="shared" si="7"/>
        <v>200827</v>
      </c>
      <c r="H23" s="295">
        <f t="shared" si="8"/>
        <v>104841</v>
      </c>
      <c r="I23" s="295">
        <f t="shared" si="8"/>
        <v>95986</v>
      </c>
      <c r="J23" s="298">
        <f t="shared" si="9"/>
        <v>200827</v>
      </c>
    </row>
    <row r="24" spans="1:10" ht="12.75" customHeight="1">
      <c r="A24" s="180" t="s">
        <v>844</v>
      </c>
      <c r="B24" s="178">
        <f t="shared" ref="B24:J24" si="10">SUM(B25:B30)</f>
        <v>470863</v>
      </c>
      <c r="C24" s="178">
        <f t="shared" si="10"/>
        <v>439773</v>
      </c>
      <c r="D24" s="179">
        <f t="shared" si="10"/>
        <v>910636</v>
      </c>
      <c r="E24" s="178">
        <f>SUM(E25:E30)</f>
        <v>24639</v>
      </c>
      <c r="F24" s="178">
        <f t="shared" si="10"/>
        <v>23664</v>
      </c>
      <c r="G24" s="179">
        <f t="shared" si="10"/>
        <v>48303</v>
      </c>
      <c r="H24" s="178">
        <f t="shared" si="10"/>
        <v>495502</v>
      </c>
      <c r="I24" s="178">
        <f t="shared" si="10"/>
        <v>463437</v>
      </c>
      <c r="J24" s="179">
        <f t="shared" si="10"/>
        <v>958939</v>
      </c>
    </row>
    <row r="25" spans="1:10" ht="12.75" customHeight="1">
      <c r="A25" s="261" t="s">
        <v>1269</v>
      </c>
      <c r="B25" s="67">
        <v>86280</v>
      </c>
      <c r="C25" s="67">
        <v>80697</v>
      </c>
      <c r="D25" s="81">
        <f t="shared" ref="D25:D30" si="11">IF(SUM(B25:C25)=0,"-",SUM(B25:C25))</f>
        <v>166977</v>
      </c>
      <c r="E25" s="67">
        <v>3275</v>
      </c>
      <c r="F25" s="67">
        <v>3125</v>
      </c>
      <c r="G25" s="81">
        <f t="shared" ref="G25:G30" si="12">IF(SUM(E25:F25)=0,"-",SUM(E25:F25))</f>
        <v>6400</v>
      </c>
      <c r="H25" s="295">
        <f t="shared" ref="H25:I30" si="13">SUM(B25,E25)</f>
        <v>89555</v>
      </c>
      <c r="I25" s="295">
        <f t="shared" si="13"/>
        <v>83822</v>
      </c>
      <c r="J25" s="298">
        <f t="shared" ref="J25:J30" si="14">IF(SUM(H25:I25)=0,"-",SUM(H25:I25))</f>
        <v>173377</v>
      </c>
    </row>
    <row r="26" spans="1:10" ht="12.75" customHeight="1">
      <c r="A26" s="261" t="s">
        <v>1270</v>
      </c>
      <c r="B26" s="67">
        <v>90319</v>
      </c>
      <c r="C26" s="67">
        <v>84737</v>
      </c>
      <c r="D26" s="81">
        <f t="shared" si="11"/>
        <v>175056</v>
      </c>
      <c r="E26" s="67" t="s">
        <v>1384</v>
      </c>
      <c r="F26" s="67" t="s">
        <v>1384</v>
      </c>
      <c r="G26" s="81" t="str">
        <f t="shared" si="12"/>
        <v>-</v>
      </c>
      <c r="H26" s="295">
        <f t="shared" si="13"/>
        <v>90319</v>
      </c>
      <c r="I26" s="295">
        <f t="shared" si="13"/>
        <v>84737</v>
      </c>
      <c r="J26" s="298">
        <f t="shared" si="14"/>
        <v>175056</v>
      </c>
    </row>
    <row r="27" spans="1:10" ht="12.75" customHeight="1">
      <c r="A27" s="261" t="s">
        <v>1412</v>
      </c>
      <c r="B27" s="67">
        <v>115228</v>
      </c>
      <c r="C27" s="67">
        <v>107449</v>
      </c>
      <c r="D27" s="81">
        <f t="shared" si="11"/>
        <v>222677</v>
      </c>
      <c r="E27" s="67">
        <v>6073</v>
      </c>
      <c r="F27" s="67">
        <v>5682</v>
      </c>
      <c r="G27" s="81">
        <f t="shared" si="12"/>
        <v>11755</v>
      </c>
      <c r="H27" s="295">
        <f t="shared" si="13"/>
        <v>121301</v>
      </c>
      <c r="I27" s="295">
        <f t="shared" si="13"/>
        <v>113131</v>
      </c>
      <c r="J27" s="298">
        <f t="shared" si="14"/>
        <v>234432</v>
      </c>
    </row>
    <row r="28" spans="1:10" ht="12.75" customHeight="1">
      <c r="A28" s="261" t="s">
        <v>1413</v>
      </c>
      <c r="B28" s="67">
        <v>86458</v>
      </c>
      <c r="C28" s="67">
        <v>80705</v>
      </c>
      <c r="D28" s="81">
        <f t="shared" si="11"/>
        <v>167163</v>
      </c>
      <c r="E28" s="67" t="s">
        <v>1384</v>
      </c>
      <c r="F28" s="67" t="s">
        <v>1384</v>
      </c>
      <c r="G28" s="81" t="str">
        <f t="shared" si="12"/>
        <v>-</v>
      </c>
      <c r="H28" s="295">
        <f t="shared" si="13"/>
        <v>86458</v>
      </c>
      <c r="I28" s="295">
        <f t="shared" si="13"/>
        <v>80705</v>
      </c>
      <c r="J28" s="298">
        <f t="shared" si="14"/>
        <v>167163</v>
      </c>
    </row>
    <row r="29" spans="1:10" ht="12.75" customHeight="1">
      <c r="A29" s="261" t="s">
        <v>1414</v>
      </c>
      <c r="B29" s="67">
        <v>92578</v>
      </c>
      <c r="C29" s="67">
        <v>86185</v>
      </c>
      <c r="D29" s="81">
        <f t="shared" si="11"/>
        <v>178763</v>
      </c>
      <c r="E29" s="67" t="s">
        <v>1384</v>
      </c>
      <c r="F29" s="67" t="s">
        <v>1384</v>
      </c>
      <c r="G29" s="81" t="str">
        <f t="shared" si="12"/>
        <v>-</v>
      </c>
      <c r="H29" s="295">
        <f t="shared" si="13"/>
        <v>92578</v>
      </c>
      <c r="I29" s="295">
        <f t="shared" si="13"/>
        <v>86185</v>
      </c>
      <c r="J29" s="298">
        <f t="shared" si="14"/>
        <v>178763</v>
      </c>
    </row>
    <row r="30" spans="1:10" ht="12.75" customHeight="1">
      <c r="A30" s="261" t="s">
        <v>1415</v>
      </c>
      <c r="B30" s="67" t="s">
        <v>1384</v>
      </c>
      <c r="C30" s="67" t="s">
        <v>1384</v>
      </c>
      <c r="D30" s="81" t="str">
        <f t="shared" si="11"/>
        <v>-</v>
      </c>
      <c r="E30" s="67">
        <v>15291</v>
      </c>
      <c r="F30" s="67">
        <v>14857</v>
      </c>
      <c r="G30" s="81">
        <f t="shared" si="12"/>
        <v>30148</v>
      </c>
      <c r="H30" s="295">
        <f t="shared" si="13"/>
        <v>15291</v>
      </c>
      <c r="I30" s="295">
        <f t="shared" si="13"/>
        <v>14857</v>
      </c>
      <c r="J30" s="298">
        <f t="shared" si="14"/>
        <v>30148</v>
      </c>
    </row>
    <row r="31" spans="1:10" ht="12.75" customHeight="1">
      <c r="A31" s="180" t="s">
        <v>1275</v>
      </c>
      <c r="B31" s="178">
        <f t="shared" ref="B31:J31" si="15">SUM(B32:B40)</f>
        <v>659057</v>
      </c>
      <c r="C31" s="178">
        <f t="shared" si="15"/>
        <v>623225</v>
      </c>
      <c r="D31" s="179">
        <f t="shared" si="15"/>
        <v>1282282</v>
      </c>
      <c r="E31" s="178">
        <f>SUM(E32:E40)</f>
        <v>54610</v>
      </c>
      <c r="F31" s="178">
        <f t="shared" si="15"/>
        <v>48415</v>
      </c>
      <c r="G31" s="179">
        <f t="shared" si="15"/>
        <v>103025</v>
      </c>
      <c r="H31" s="178">
        <f t="shared" si="15"/>
        <v>713667</v>
      </c>
      <c r="I31" s="178">
        <f t="shared" si="15"/>
        <v>671640</v>
      </c>
      <c r="J31" s="179">
        <f t="shared" si="15"/>
        <v>1385307</v>
      </c>
    </row>
    <row r="32" spans="1:10" ht="12.75" customHeight="1">
      <c r="A32" s="261" t="s">
        <v>1419</v>
      </c>
      <c r="B32" s="67">
        <v>68494</v>
      </c>
      <c r="C32" s="67">
        <v>64498</v>
      </c>
      <c r="D32" s="81">
        <f t="shared" ref="D32:D40" si="16">IF(SUM(B32:C32)=0,"-",SUM(B32:C32))</f>
        <v>132992</v>
      </c>
      <c r="E32" s="67" t="s">
        <v>1384</v>
      </c>
      <c r="F32" s="67" t="s">
        <v>1384</v>
      </c>
      <c r="G32" s="81" t="str">
        <f t="shared" ref="G32:G40" si="17">IF(SUM(E32:F32)=0,"-",SUM(E32:F32))</f>
        <v>-</v>
      </c>
      <c r="H32" s="295">
        <f t="shared" ref="H32:H40" si="18">SUM(B32,E32)</f>
        <v>68494</v>
      </c>
      <c r="I32" s="295">
        <f t="shared" ref="I32:I40" si="19">SUM(C32,F32)</f>
        <v>64498</v>
      </c>
      <c r="J32" s="298">
        <f t="shared" ref="J32:J40" si="20">IF(SUM(H32:I32)=0,"-",SUM(H32:I32))</f>
        <v>132992</v>
      </c>
    </row>
    <row r="33" spans="1:10" ht="12.75" customHeight="1">
      <c r="A33" s="261" t="s">
        <v>1420</v>
      </c>
      <c r="B33" s="67">
        <v>71294</v>
      </c>
      <c r="C33" s="67">
        <v>68169</v>
      </c>
      <c r="D33" s="81">
        <f t="shared" si="16"/>
        <v>139463</v>
      </c>
      <c r="E33" s="67" t="s">
        <v>1384</v>
      </c>
      <c r="F33" s="67" t="s">
        <v>1384</v>
      </c>
      <c r="G33" s="81" t="str">
        <f t="shared" si="17"/>
        <v>-</v>
      </c>
      <c r="H33" s="295">
        <f t="shared" si="18"/>
        <v>71294</v>
      </c>
      <c r="I33" s="295">
        <f t="shared" si="19"/>
        <v>68169</v>
      </c>
      <c r="J33" s="298">
        <f t="shared" si="20"/>
        <v>139463</v>
      </c>
    </row>
    <row r="34" spans="1:10" ht="12.75" customHeight="1">
      <c r="A34" s="261" t="s">
        <v>1422</v>
      </c>
      <c r="B34" s="67">
        <v>99060</v>
      </c>
      <c r="C34" s="67">
        <v>93102</v>
      </c>
      <c r="D34" s="81">
        <f t="shared" si="16"/>
        <v>192162</v>
      </c>
      <c r="E34" s="67" t="s">
        <v>1384</v>
      </c>
      <c r="F34" s="67" t="s">
        <v>1384</v>
      </c>
      <c r="G34" s="81" t="str">
        <f t="shared" si="17"/>
        <v>-</v>
      </c>
      <c r="H34" s="295">
        <f t="shared" si="18"/>
        <v>99060</v>
      </c>
      <c r="I34" s="295">
        <f t="shared" si="19"/>
        <v>93102</v>
      </c>
      <c r="J34" s="298">
        <f t="shared" si="20"/>
        <v>192162</v>
      </c>
    </row>
    <row r="35" spans="1:10" ht="12.75" customHeight="1">
      <c r="A35" s="261" t="s">
        <v>1423</v>
      </c>
      <c r="B35" s="67">
        <v>82494</v>
      </c>
      <c r="C35" s="67">
        <v>79492</v>
      </c>
      <c r="D35" s="81">
        <f t="shared" si="16"/>
        <v>161986</v>
      </c>
      <c r="E35" s="67">
        <v>2736</v>
      </c>
      <c r="F35" s="67">
        <v>2608</v>
      </c>
      <c r="G35" s="81">
        <f t="shared" si="17"/>
        <v>5344</v>
      </c>
      <c r="H35" s="295">
        <f t="shared" si="18"/>
        <v>85230</v>
      </c>
      <c r="I35" s="295">
        <f t="shared" si="19"/>
        <v>82100</v>
      </c>
      <c r="J35" s="298">
        <f t="shared" si="20"/>
        <v>167330</v>
      </c>
    </row>
    <row r="36" spans="1:10" ht="12.75" customHeight="1">
      <c r="A36" s="261" t="s">
        <v>1425</v>
      </c>
      <c r="B36" s="67">
        <v>80373</v>
      </c>
      <c r="C36" s="67">
        <v>75681</v>
      </c>
      <c r="D36" s="81">
        <f t="shared" si="16"/>
        <v>156054</v>
      </c>
      <c r="E36" s="67" t="s">
        <v>1384</v>
      </c>
      <c r="F36" s="67" t="s">
        <v>1384</v>
      </c>
      <c r="G36" s="81" t="str">
        <f t="shared" si="17"/>
        <v>-</v>
      </c>
      <c r="H36" s="295">
        <f t="shared" si="18"/>
        <v>80373</v>
      </c>
      <c r="I36" s="295">
        <f t="shared" si="19"/>
        <v>75681</v>
      </c>
      <c r="J36" s="298">
        <f t="shared" si="20"/>
        <v>156054</v>
      </c>
    </row>
    <row r="37" spans="1:10" ht="12.75" customHeight="1">
      <c r="A37" s="261" t="s">
        <v>1426</v>
      </c>
      <c r="B37" s="67">
        <v>88105</v>
      </c>
      <c r="C37" s="67">
        <v>82789</v>
      </c>
      <c r="D37" s="81">
        <f t="shared" si="16"/>
        <v>170894</v>
      </c>
      <c r="E37" s="67" t="s">
        <v>1384</v>
      </c>
      <c r="F37" s="67" t="s">
        <v>1384</v>
      </c>
      <c r="G37" s="81" t="str">
        <f t="shared" si="17"/>
        <v>-</v>
      </c>
      <c r="H37" s="295">
        <f t="shared" si="18"/>
        <v>88105</v>
      </c>
      <c r="I37" s="295">
        <f t="shared" si="19"/>
        <v>82789</v>
      </c>
      <c r="J37" s="298">
        <f t="shared" si="20"/>
        <v>170894</v>
      </c>
    </row>
    <row r="38" spans="1:10" ht="12.75" customHeight="1">
      <c r="A38" s="181" t="s">
        <v>263</v>
      </c>
      <c r="B38" s="67">
        <v>88094</v>
      </c>
      <c r="C38" s="67">
        <v>82844</v>
      </c>
      <c r="D38" s="81">
        <f t="shared" si="16"/>
        <v>170938</v>
      </c>
      <c r="E38" s="67">
        <v>2843</v>
      </c>
      <c r="F38" s="67">
        <v>2612</v>
      </c>
      <c r="G38" s="81">
        <f t="shared" si="17"/>
        <v>5455</v>
      </c>
      <c r="H38" s="295">
        <f t="shared" si="18"/>
        <v>90937</v>
      </c>
      <c r="I38" s="295">
        <f t="shared" si="19"/>
        <v>85456</v>
      </c>
      <c r="J38" s="298">
        <f t="shared" si="20"/>
        <v>176393</v>
      </c>
    </row>
    <row r="39" spans="1:10" ht="12.75" customHeight="1">
      <c r="A39" s="261" t="s">
        <v>1429</v>
      </c>
      <c r="B39" s="67">
        <v>81143</v>
      </c>
      <c r="C39" s="67">
        <v>76650</v>
      </c>
      <c r="D39" s="81">
        <f t="shared" si="16"/>
        <v>157793</v>
      </c>
      <c r="E39" s="67" t="s">
        <v>1384</v>
      </c>
      <c r="F39" s="67" t="s">
        <v>1384</v>
      </c>
      <c r="G39" s="81" t="str">
        <f t="shared" si="17"/>
        <v>-</v>
      </c>
      <c r="H39" s="295">
        <f t="shared" si="18"/>
        <v>81143</v>
      </c>
      <c r="I39" s="295">
        <f t="shared" si="19"/>
        <v>76650</v>
      </c>
      <c r="J39" s="298">
        <f t="shared" si="20"/>
        <v>157793</v>
      </c>
    </row>
    <row r="40" spans="1:10" ht="12.75" customHeight="1">
      <c r="A40" s="262" t="s">
        <v>1427</v>
      </c>
      <c r="B40" s="67" t="s">
        <v>1384</v>
      </c>
      <c r="C40" s="67" t="s">
        <v>1384</v>
      </c>
      <c r="D40" s="81" t="str">
        <f t="shared" si="16"/>
        <v>-</v>
      </c>
      <c r="E40" s="67">
        <v>49031</v>
      </c>
      <c r="F40" s="67">
        <v>43195</v>
      </c>
      <c r="G40" s="81">
        <f t="shared" si="17"/>
        <v>92226</v>
      </c>
      <c r="H40" s="295">
        <f t="shared" si="18"/>
        <v>49031</v>
      </c>
      <c r="I40" s="295">
        <f t="shared" si="19"/>
        <v>43195</v>
      </c>
      <c r="J40" s="298">
        <f t="shared" si="20"/>
        <v>92226</v>
      </c>
    </row>
    <row r="41" spans="1:10" ht="12.75" customHeight="1">
      <c r="A41" s="206" t="s">
        <v>398</v>
      </c>
      <c r="B41" s="207">
        <f t="shared" ref="B41:J41" si="21">SUM(B7,B17,B24,B31)</f>
        <v>2322562</v>
      </c>
      <c r="C41" s="207">
        <f t="shared" si="21"/>
        <v>2180599</v>
      </c>
      <c r="D41" s="208">
        <f t="shared" si="21"/>
        <v>4503161</v>
      </c>
      <c r="E41" s="207">
        <f t="shared" si="21"/>
        <v>307272</v>
      </c>
      <c r="F41" s="207">
        <f t="shared" si="21"/>
        <v>285442</v>
      </c>
      <c r="G41" s="208">
        <f t="shared" si="21"/>
        <v>592714</v>
      </c>
      <c r="H41" s="207">
        <f t="shared" si="21"/>
        <v>2629834</v>
      </c>
      <c r="I41" s="207">
        <f t="shared" si="21"/>
        <v>2466041</v>
      </c>
      <c r="J41" s="208">
        <f t="shared" si="21"/>
        <v>5095875</v>
      </c>
    </row>
    <row r="42" spans="1:10">
      <c r="A42" s="1374"/>
      <c r="B42" s="61"/>
      <c r="C42" s="61"/>
      <c r="D42" s="7"/>
      <c r="E42" s="61"/>
      <c r="F42" s="61"/>
      <c r="G42" s="7"/>
      <c r="H42" s="319"/>
      <c r="I42" s="319"/>
      <c r="J42" s="1063" t="s">
        <v>640</v>
      </c>
    </row>
    <row r="43" spans="1:10">
      <c r="A43" s="61"/>
      <c r="B43" s="61"/>
      <c r="C43" s="61"/>
      <c r="D43" s="7"/>
      <c r="E43" s="61"/>
      <c r="F43" s="61"/>
      <c r="G43" s="7"/>
      <c r="J43" s="7"/>
    </row>
    <row r="44" spans="1:10">
      <c r="A44" s="61"/>
      <c r="B44" s="61"/>
      <c r="C44" s="61"/>
      <c r="D44" s="7"/>
      <c r="E44" s="61"/>
      <c r="F44" s="61"/>
      <c r="G44" s="7"/>
      <c r="J44" s="7"/>
    </row>
    <row r="45" spans="1:10">
      <c r="A45" s="61"/>
      <c r="B45" s="61"/>
      <c r="C45" s="61"/>
      <c r="D45" s="7"/>
      <c r="E45" s="61"/>
      <c r="F45" s="61"/>
      <c r="G45" s="7"/>
      <c r="J45" s="7"/>
    </row>
    <row r="46" spans="1:10">
      <c r="A46" s="61"/>
      <c r="B46" s="61"/>
      <c r="C46" s="61"/>
      <c r="D46" s="7"/>
      <c r="E46" s="61"/>
      <c r="F46" s="61"/>
      <c r="G46" s="7"/>
      <c r="J46" s="7"/>
    </row>
    <row r="47" spans="1:10">
      <c r="A47" s="61"/>
      <c r="B47" s="61"/>
      <c r="C47" s="61"/>
      <c r="D47" s="7"/>
      <c r="E47" s="61"/>
      <c r="F47" s="61"/>
      <c r="G47" s="7"/>
      <c r="J47" s="7"/>
    </row>
    <row r="48" spans="1:10">
      <c r="A48" s="61"/>
      <c r="B48" s="61"/>
      <c r="C48" s="61"/>
      <c r="D48" s="7"/>
      <c r="E48" s="62"/>
      <c r="F48" s="62"/>
      <c r="G48" s="7"/>
      <c r="J48" s="7"/>
    </row>
    <row r="49" spans="1:10">
      <c r="A49" s="61"/>
      <c r="B49" s="61"/>
      <c r="C49" s="61"/>
      <c r="D49" s="7"/>
      <c r="E49" s="62"/>
      <c r="F49" s="62"/>
      <c r="G49" s="7"/>
      <c r="J49" s="7"/>
    </row>
    <row r="50" spans="1:10">
      <c r="A50" s="61"/>
      <c r="B50" s="61"/>
      <c r="C50" s="61"/>
      <c r="D50" s="7"/>
      <c r="E50" s="62"/>
      <c r="F50" s="62"/>
      <c r="G50" s="7"/>
      <c r="J50" s="7"/>
    </row>
    <row r="51" spans="1:10">
      <c r="A51" s="61"/>
      <c r="B51" s="61"/>
      <c r="C51" s="61"/>
      <c r="D51" s="7"/>
      <c r="E51" s="62"/>
      <c r="F51" s="62"/>
      <c r="G51" s="7"/>
      <c r="J51" s="7"/>
    </row>
    <row r="52" spans="1:10">
      <c r="A52" s="61"/>
      <c r="B52" s="61"/>
      <c r="C52" s="61"/>
      <c r="D52" s="7"/>
      <c r="E52" s="62"/>
      <c r="F52" s="62"/>
      <c r="G52" s="7"/>
      <c r="J52" s="7"/>
    </row>
    <row r="53" spans="1:10">
      <c r="A53" s="61"/>
      <c r="B53" s="61"/>
      <c r="C53" s="61"/>
      <c r="D53" s="7"/>
      <c r="E53" s="62"/>
      <c r="F53" s="62"/>
      <c r="G53" s="7"/>
      <c r="J53" s="7"/>
    </row>
    <row r="54" spans="1:10">
      <c r="A54" s="61"/>
      <c r="B54" s="61"/>
      <c r="C54" s="61"/>
      <c r="D54" s="7"/>
      <c r="E54" s="62"/>
      <c r="F54" s="62"/>
      <c r="G54" s="7"/>
      <c r="J54" s="7"/>
    </row>
    <row r="55" spans="1:10">
      <c r="A55" s="61"/>
      <c r="B55" s="61"/>
      <c r="C55" s="61"/>
      <c r="D55" s="7"/>
      <c r="E55" s="62"/>
      <c r="F55" s="62"/>
      <c r="G55" s="7"/>
      <c r="J55" s="7"/>
    </row>
    <row r="56" spans="1:10">
      <c r="A56" s="61"/>
      <c r="B56" s="61"/>
      <c r="C56" s="61"/>
      <c r="D56" s="7"/>
      <c r="E56" s="62"/>
      <c r="F56" s="62"/>
      <c r="G56" s="7"/>
      <c r="J56" s="7"/>
    </row>
    <row r="57" spans="1:10">
      <c r="A57" s="61"/>
      <c r="B57" s="61"/>
      <c r="C57" s="61"/>
      <c r="D57" s="7"/>
      <c r="E57" s="62"/>
      <c r="F57" s="62"/>
      <c r="G57" s="7"/>
      <c r="J57" s="7"/>
    </row>
    <row r="58" spans="1:10">
      <c r="A58" s="61"/>
      <c r="B58" s="61"/>
      <c r="C58" s="61"/>
      <c r="D58" s="7"/>
      <c r="E58" s="62"/>
      <c r="F58" s="62"/>
      <c r="G58" s="7"/>
      <c r="J58" s="7"/>
    </row>
    <row r="59" spans="1:10">
      <c r="A59" s="61"/>
      <c r="B59" s="61"/>
      <c r="C59" s="61"/>
      <c r="D59" s="7"/>
      <c r="E59" s="62"/>
      <c r="F59" s="62"/>
      <c r="G59" s="7"/>
      <c r="J59" s="7"/>
    </row>
    <row r="60" spans="1:10">
      <c r="A60" s="61"/>
      <c r="B60" s="61"/>
      <c r="C60" s="61"/>
      <c r="D60" s="7"/>
      <c r="E60" s="62"/>
      <c r="F60" s="62"/>
      <c r="G60" s="7"/>
      <c r="J60" s="7"/>
    </row>
    <row r="61" spans="1:10">
      <c r="A61" s="61"/>
      <c r="B61" s="61"/>
      <c r="C61" s="61"/>
      <c r="D61" s="7"/>
      <c r="E61" s="61"/>
      <c r="F61" s="61"/>
      <c r="G61" s="7"/>
      <c r="J61" s="7"/>
    </row>
    <row r="62" spans="1:10">
      <c r="A62" s="7"/>
      <c r="B62" s="7"/>
      <c r="C62" s="7"/>
      <c r="D62" s="7"/>
      <c r="E62" s="7"/>
      <c r="F62" s="7"/>
      <c r="G62" s="7"/>
      <c r="H62" s="7"/>
      <c r="I62" s="7"/>
      <c r="J62" s="7"/>
    </row>
  </sheetData>
  <mergeCells count="6">
    <mergeCell ref="A1:J1"/>
    <mergeCell ref="A2:J2"/>
    <mergeCell ref="E4:G4"/>
    <mergeCell ref="H4:J4"/>
    <mergeCell ref="A4:A5"/>
    <mergeCell ref="B4:D4"/>
  </mergeCells>
  <phoneticPr fontId="0" type="noConversion"/>
  <printOptions horizontalCentered="1"/>
  <pageMargins left="0.1" right="0.1" top="0.57999999999999996" bottom="0.1" header="0.47" footer="0.1"/>
  <pageSetup paperSize="9" orientation="landscape" blackAndWhite="1" r:id="rId1"/>
  <headerFooter alignWithMargins="0"/>
</worksheet>
</file>

<file path=xl/worksheets/sheet14.xml><?xml version="1.0" encoding="utf-8"?>
<worksheet xmlns="http://schemas.openxmlformats.org/spreadsheetml/2006/main" xmlns:r="http://schemas.openxmlformats.org/officeDocument/2006/relationships">
  <sheetPr codeName="Sheet14"/>
  <dimension ref="A1:T28"/>
  <sheetViews>
    <sheetView workbookViewId="0">
      <selection activeCell="C3" sqref="C3"/>
    </sheetView>
  </sheetViews>
  <sheetFormatPr defaultRowHeight="12.75"/>
  <cols>
    <col min="1" max="1" width="12.42578125" customWidth="1"/>
    <col min="2" max="19" width="7" customWidth="1"/>
  </cols>
  <sheetData>
    <row r="1" spans="1:20" ht="12.75" customHeight="1">
      <c r="A1" s="1893" t="s">
        <v>805</v>
      </c>
      <c r="B1" s="1893"/>
      <c r="C1" s="1893"/>
      <c r="D1" s="1893"/>
      <c r="E1" s="1893"/>
      <c r="F1" s="1893"/>
      <c r="G1" s="1893"/>
      <c r="H1" s="1893"/>
      <c r="I1" s="1893"/>
      <c r="J1" s="1893"/>
      <c r="K1" s="1893"/>
      <c r="L1" s="1893"/>
      <c r="M1" s="1893"/>
      <c r="N1" s="1893"/>
      <c r="O1" s="1893"/>
      <c r="P1" s="1893"/>
      <c r="Q1" s="1893"/>
      <c r="R1" s="1893"/>
      <c r="S1" s="1893"/>
    </row>
    <row r="2" spans="1:20" ht="14.25" customHeight="1">
      <c r="A2" s="1894" t="s">
        <v>305</v>
      </c>
      <c r="B2" s="1894"/>
      <c r="C2" s="1894"/>
      <c r="D2" s="1894"/>
      <c r="E2" s="1894"/>
      <c r="F2" s="1894"/>
      <c r="G2" s="1894"/>
      <c r="H2" s="1894"/>
      <c r="I2" s="1894"/>
      <c r="J2" s="1894"/>
      <c r="K2" s="1894"/>
      <c r="L2" s="1894"/>
      <c r="M2" s="1894"/>
      <c r="N2" s="1894"/>
      <c r="O2" s="1894"/>
      <c r="P2" s="1894"/>
      <c r="Q2" s="1894"/>
      <c r="R2" s="1894"/>
      <c r="S2" s="1894"/>
    </row>
    <row r="3" spans="1:20" ht="12.75" customHeight="1">
      <c r="A3" s="4"/>
      <c r="B3" s="4"/>
      <c r="C3" s="4"/>
      <c r="D3" s="4"/>
      <c r="E3" s="4"/>
      <c r="F3" s="4"/>
      <c r="G3" s="4"/>
      <c r="H3" s="4"/>
      <c r="I3" s="4"/>
      <c r="J3" s="4"/>
      <c r="K3" s="4"/>
      <c r="L3" s="4"/>
      <c r="M3" s="4"/>
      <c r="N3" s="4"/>
      <c r="O3" s="4"/>
      <c r="P3" s="4"/>
      <c r="Q3" s="4"/>
      <c r="R3" s="4"/>
      <c r="S3" s="194" t="s">
        <v>836</v>
      </c>
      <c r="T3" s="7"/>
    </row>
    <row r="4" spans="1:20" ht="15" customHeight="1">
      <c r="A4" s="1833" t="s">
        <v>1044</v>
      </c>
      <c r="B4" s="1827" t="s">
        <v>1205</v>
      </c>
      <c r="C4" s="1827"/>
      <c r="D4" s="1827"/>
      <c r="E4" s="1827"/>
      <c r="F4" s="1827"/>
      <c r="G4" s="1828"/>
      <c r="H4" s="1829" t="s">
        <v>1206</v>
      </c>
      <c r="I4" s="1827"/>
      <c r="J4" s="1827"/>
      <c r="K4" s="1827"/>
      <c r="L4" s="1827"/>
      <c r="M4" s="1828"/>
      <c r="N4" s="1829" t="s">
        <v>1207</v>
      </c>
      <c r="O4" s="1827"/>
      <c r="P4" s="1827"/>
      <c r="Q4" s="1827"/>
      <c r="R4" s="1827"/>
      <c r="S4" s="1828"/>
    </row>
    <row r="5" spans="1:20" ht="15" customHeight="1">
      <c r="A5" s="1870"/>
      <c r="B5" s="1903" t="s">
        <v>1040</v>
      </c>
      <c r="C5" s="1902"/>
      <c r="D5" s="1901" t="s">
        <v>1041</v>
      </c>
      <c r="E5" s="1902"/>
      <c r="F5" s="1903" t="s">
        <v>979</v>
      </c>
      <c r="G5" s="1902"/>
      <c r="H5" s="1901" t="s">
        <v>1040</v>
      </c>
      <c r="I5" s="1902"/>
      <c r="J5" s="1901" t="s">
        <v>1041</v>
      </c>
      <c r="K5" s="1902"/>
      <c r="L5" s="1903" t="s">
        <v>979</v>
      </c>
      <c r="M5" s="1902"/>
      <c r="N5" s="1901" t="s">
        <v>1040</v>
      </c>
      <c r="O5" s="1902"/>
      <c r="P5" s="1901" t="s">
        <v>1041</v>
      </c>
      <c r="Q5" s="1902"/>
      <c r="R5" s="1903" t="s">
        <v>979</v>
      </c>
      <c r="S5" s="1902"/>
    </row>
    <row r="6" spans="1:20" ht="15" customHeight="1">
      <c r="A6" s="1834"/>
      <c r="B6" s="415" t="s">
        <v>1030</v>
      </c>
      <c r="C6" s="414" t="s">
        <v>1045</v>
      </c>
      <c r="D6" s="416" t="s">
        <v>1030</v>
      </c>
      <c r="E6" s="414" t="s">
        <v>1045</v>
      </c>
      <c r="F6" s="415" t="s">
        <v>1030</v>
      </c>
      <c r="G6" s="414" t="s">
        <v>1045</v>
      </c>
      <c r="H6" s="416" t="s">
        <v>1030</v>
      </c>
      <c r="I6" s="414" t="s">
        <v>1045</v>
      </c>
      <c r="J6" s="416" t="s">
        <v>1030</v>
      </c>
      <c r="K6" s="414" t="s">
        <v>1045</v>
      </c>
      <c r="L6" s="415" t="s">
        <v>1030</v>
      </c>
      <c r="M6" s="414" t="s">
        <v>1045</v>
      </c>
      <c r="N6" s="416" t="s">
        <v>1030</v>
      </c>
      <c r="O6" s="414" t="s">
        <v>1045</v>
      </c>
      <c r="P6" s="416" t="s">
        <v>1030</v>
      </c>
      <c r="Q6" s="414" t="s">
        <v>1045</v>
      </c>
      <c r="R6" s="415" t="s">
        <v>1030</v>
      </c>
      <c r="S6" s="414" t="s">
        <v>1045</v>
      </c>
    </row>
    <row r="7" spans="1:20" ht="15" customHeight="1">
      <c r="A7" s="205" t="s">
        <v>955</v>
      </c>
      <c r="B7" s="176" t="s">
        <v>956</v>
      </c>
      <c r="C7" s="174" t="s">
        <v>957</v>
      </c>
      <c r="D7" s="173" t="s">
        <v>958</v>
      </c>
      <c r="E7" s="213" t="s">
        <v>959</v>
      </c>
      <c r="F7" s="176" t="s">
        <v>961</v>
      </c>
      <c r="G7" s="213" t="s">
        <v>962</v>
      </c>
      <c r="H7" s="173" t="s">
        <v>990</v>
      </c>
      <c r="I7" s="174" t="s">
        <v>991</v>
      </c>
      <c r="J7" s="173" t="s">
        <v>992</v>
      </c>
      <c r="K7" s="174" t="s">
        <v>993</v>
      </c>
      <c r="L7" s="176" t="s">
        <v>1046</v>
      </c>
      <c r="M7" s="213" t="s">
        <v>1048</v>
      </c>
      <c r="N7" s="214" t="s">
        <v>1049</v>
      </c>
      <c r="O7" s="213" t="s">
        <v>1050</v>
      </c>
      <c r="P7" s="214" t="s">
        <v>1051</v>
      </c>
      <c r="Q7" s="213" t="s">
        <v>1052</v>
      </c>
      <c r="R7" s="176" t="s">
        <v>1054</v>
      </c>
      <c r="S7" s="174" t="s">
        <v>1053</v>
      </c>
    </row>
    <row r="8" spans="1:20" ht="21" customHeight="1">
      <c r="A8" s="220" t="s">
        <v>1289</v>
      </c>
      <c r="B8" s="394">
        <v>430.4</v>
      </c>
      <c r="C8" s="107">
        <f>ROUND(B8/B$26*100,2)</f>
        <v>9.76</v>
      </c>
      <c r="D8" s="395">
        <v>411.9</v>
      </c>
      <c r="E8" s="107">
        <f>ROUND(D8/D$26*100,2)</f>
        <v>9.76</v>
      </c>
      <c r="F8" s="153">
        <f>SUM(B8,D8)</f>
        <v>842.3</v>
      </c>
      <c r="G8" s="107">
        <f>ROUND(F8/F$26*100,2)</f>
        <v>9.76</v>
      </c>
      <c r="H8" s="395">
        <v>38.5</v>
      </c>
      <c r="I8" s="107">
        <f>ROUND(H8/H$26*100,2)</f>
        <v>7.57</v>
      </c>
      <c r="J8" s="395">
        <v>37.200000000000003</v>
      </c>
      <c r="K8" s="107">
        <f>ROUND(J8/J$26*100,2)+0.01</f>
        <v>7.83</v>
      </c>
      <c r="L8" s="153">
        <f t="shared" ref="L8:L25" si="0">SUM(H8,J8)</f>
        <v>75.7</v>
      </c>
      <c r="M8" s="107">
        <f>ROUND(L8/L$26*100,2)+0.01</f>
        <v>7.7</v>
      </c>
      <c r="N8" s="154">
        <f>B8+H8</f>
        <v>468.9</v>
      </c>
      <c r="O8" s="107">
        <f t="shared" ref="O8:O14" si="1">ROUND(N8/N$26*100,2)</f>
        <v>9.5399999999999991</v>
      </c>
      <c r="P8" s="154">
        <f t="shared" ref="P8:P25" si="2">D8+J8</f>
        <v>449.09999999999997</v>
      </c>
      <c r="Q8" s="107">
        <f t="shared" ref="Q8:Q25" si="3">ROUND(P8/P$26*100,2)</f>
        <v>9.57</v>
      </c>
      <c r="R8" s="153">
        <f t="shared" ref="R8:R25" si="4">N8+P8</f>
        <v>918</v>
      </c>
      <c r="S8" s="107">
        <f t="shared" ref="S8:S15" si="5">ROUND(R8/R$26*100,2)</f>
        <v>9.5500000000000007</v>
      </c>
    </row>
    <row r="9" spans="1:20" ht="21" customHeight="1">
      <c r="A9" s="396" t="s">
        <v>1056</v>
      </c>
      <c r="B9" s="394">
        <v>546.9</v>
      </c>
      <c r="C9" s="107">
        <f t="shared" ref="C9:C25" si="6">ROUND(B9/B$26*100,2)</f>
        <v>12.41</v>
      </c>
      <c r="D9" s="395">
        <v>521.5</v>
      </c>
      <c r="E9" s="107">
        <f t="shared" ref="E9:E25" si="7">ROUND(D9/D$26*100,2)</f>
        <v>12.36</v>
      </c>
      <c r="F9" s="153">
        <f t="shared" ref="F9:F25" si="8">SUM(B9,D9)</f>
        <v>1068.4000000000001</v>
      </c>
      <c r="G9" s="107">
        <f t="shared" ref="G9:G25" si="9">ROUND(F9/F$26*100,2)</f>
        <v>12.38</v>
      </c>
      <c r="H9" s="395">
        <v>49.7</v>
      </c>
      <c r="I9" s="107">
        <f t="shared" ref="I9:I25" si="10">ROUND(H9/H$26*100,2)</f>
        <v>9.77</v>
      </c>
      <c r="J9" s="395">
        <v>47.2</v>
      </c>
      <c r="K9" s="107">
        <f t="shared" ref="K9:K25" si="11">ROUND(J9/J$26*100,2)</f>
        <v>9.93</v>
      </c>
      <c r="L9" s="153">
        <f t="shared" si="0"/>
        <v>96.9</v>
      </c>
      <c r="M9" s="107">
        <f t="shared" ref="M9:M25" si="12">ROUND(L9/L$26*100,2)</f>
        <v>9.85</v>
      </c>
      <c r="N9" s="154">
        <f t="shared" ref="N9:N25" si="13">B9+H9</f>
        <v>596.6</v>
      </c>
      <c r="O9" s="107">
        <f t="shared" si="1"/>
        <v>12.13</v>
      </c>
      <c r="P9" s="154">
        <f t="shared" si="2"/>
        <v>568.70000000000005</v>
      </c>
      <c r="Q9" s="107">
        <f t="shared" si="3"/>
        <v>12.11</v>
      </c>
      <c r="R9" s="153">
        <f t="shared" si="4"/>
        <v>1165.3000000000002</v>
      </c>
      <c r="S9" s="107">
        <f t="shared" si="5"/>
        <v>12.12</v>
      </c>
    </row>
    <row r="10" spans="1:20" ht="21" customHeight="1">
      <c r="A10" s="221" t="s">
        <v>1068</v>
      </c>
      <c r="B10" s="394">
        <v>542.4</v>
      </c>
      <c r="C10" s="107">
        <f t="shared" si="6"/>
        <v>12.31</v>
      </c>
      <c r="D10" s="395">
        <v>515.5</v>
      </c>
      <c r="E10" s="107">
        <f t="shared" si="7"/>
        <v>12.22</v>
      </c>
      <c r="F10" s="153">
        <f t="shared" si="8"/>
        <v>1057.9000000000001</v>
      </c>
      <c r="G10" s="107">
        <f t="shared" si="9"/>
        <v>12.26</v>
      </c>
      <c r="H10" s="395">
        <v>55.9</v>
      </c>
      <c r="I10" s="107">
        <f t="shared" si="10"/>
        <v>10.99</v>
      </c>
      <c r="J10" s="395">
        <v>54</v>
      </c>
      <c r="K10" s="107">
        <f t="shared" si="11"/>
        <v>11.36</v>
      </c>
      <c r="L10" s="153">
        <f t="shared" si="0"/>
        <v>109.9</v>
      </c>
      <c r="M10" s="107">
        <f t="shared" si="12"/>
        <v>11.17</v>
      </c>
      <c r="N10" s="154">
        <f t="shared" si="13"/>
        <v>598.29999999999995</v>
      </c>
      <c r="O10" s="107">
        <f t="shared" si="1"/>
        <v>12.17</v>
      </c>
      <c r="P10" s="154">
        <f t="shared" si="2"/>
        <v>569.5</v>
      </c>
      <c r="Q10" s="107">
        <f t="shared" si="3"/>
        <v>12.13</v>
      </c>
      <c r="R10" s="153">
        <f t="shared" si="4"/>
        <v>1167.8</v>
      </c>
      <c r="S10" s="107">
        <f t="shared" si="5"/>
        <v>12.15</v>
      </c>
    </row>
    <row r="11" spans="1:20" ht="21" customHeight="1">
      <c r="A11" s="221" t="s">
        <v>1069</v>
      </c>
      <c r="B11" s="394">
        <v>434.6</v>
      </c>
      <c r="C11" s="107">
        <f t="shared" si="6"/>
        <v>9.86</v>
      </c>
      <c r="D11" s="395">
        <v>401.1</v>
      </c>
      <c r="E11" s="107">
        <f t="shared" si="7"/>
        <v>9.51</v>
      </c>
      <c r="F11" s="153">
        <f t="shared" si="8"/>
        <v>835.7</v>
      </c>
      <c r="G11" s="107">
        <f t="shared" si="9"/>
        <v>9.69</v>
      </c>
      <c r="H11" s="395">
        <v>52.1</v>
      </c>
      <c r="I11" s="107">
        <f t="shared" si="10"/>
        <v>10.25</v>
      </c>
      <c r="J11" s="395">
        <v>48.9</v>
      </c>
      <c r="K11" s="107">
        <f t="shared" si="11"/>
        <v>10.29</v>
      </c>
      <c r="L11" s="153">
        <f t="shared" si="0"/>
        <v>101</v>
      </c>
      <c r="M11" s="107">
        <f t="shared" si="12"/>
        <v>10.27</v>
      </c>
      <c r="N11" s="154">
        <f t="shared" si="13"/>
        <v>486.70000000000005</v>
      </c>
      <c r="O11" s="107">
        <f t="shared" si="1"/>
        <v>9.9</v>
      </c>
      <c r="P11" s="154">
        <f t="shared" si="2"/>
        <v>450</v>
      </c>
      <c r="Q11" s="107">
        <f t="shared" si="3"/>
        <v>9.59</v>
      </c>
      <c r="R11" s="153">
        <f t="shared" si="4"/>
        <v>936.7</v>
      </c>
      <c r="S11" s="107">
        <f t="shared" si="5"/>
        <v>9.75</v>
      </c>
    </row>
    <row r="12" spans="1:20" ht="21" customHeight="1">
      <c r="A12" s="221" t="s">
        <v>1070</v>
      </c>
      <c r="B12" s="394">
        <v>377.8</v>
      </c>
      <c r="C12" s="107">
        <f t="shared" si="6"/>
        <v>8.57</v>
      </c>
      <c r="D12" s="395">
        <v>388.9</v>
      </c>
      <c r="E12" s="107">
        <f t="shared" si="7"/>
        <v>9.2200000000000006</v>
      </c>
      <c r="F12" s="153">
        <f t="shared" si="8"/>
        <v>766.7</v>
      </c>
      <c r="G12" s="107">
        <f t="shared" si="9"/>
        <v>8.89</v>
      </c>
      <c r="H12" s="395">
        <v>48.8</v>
      </c>
      <c r="I12" s="107">
        <f t="shared" si="10"/>
        <v>9.6</v>
      </c>
      <c r="J12" s="395">
        <v>45.6</v>
      </c>
      <c r="K12" s="107">
        <f t="shared" si="11"/>
        <v>9.59</v>
      </c>
      <c r="L12" s="153">
        <f t="shared" si="0"/>
        <v>94.4</v>
      </c>
      <c r="M12" s="107">
        <f t="shared" si="12"/>
        <v>9.59</v>
      </c>
      <c r="N12" s="154">
        <f t="shared" si="13"/>
        <v>426.6</v>
      </c>
      <c r="O12" s="107">
        <f t="shared" si="1"/>
        <v>8.68</v>
      </c>
      <c r="P12" s="154">
        <f t="shared" si="2"/>
        <v>434.5</v>
      </c>
      <c r="Q12" s="107">
        <f t="shared" si="3"/>
        <v>9.26</v>
      </c>
      <c r="R12" s="153">
        <f t="shared" si="4"/>
        <v>861.1</v>
      </c>
      <c r="S12" s="107">
        <f t="shared" si="5"/>
        <v>8.9600000000000009</v>
      </c>
    </row>
    <row r="13" spans="1:20" ht="21" customHeight="1">
      <c r="A13" s="221" t="s">
        <v>1071</v>
      </c>
      <c r="B13" s="394">
        <v>366.5</v>
      </c>
      <c r="C13" s="107">
        <f t="shared" si="6"/>
        <v>8.31</v>
      </c>
      <c r="D13" s="395">
        <v>391.8</v>
      </c>
      <c r="E13" s="107">
        <f t="shared" si="7"/>
        <v>9.2899999999999991</v>
      </c>
      <c r="F13" s="153">
        <f t="shared" si="8"/>
        <v>758.3</v>
      </c>
      <c r="G13" s="107">
        <f t="shared" si="9"/>
        <v>8.7899999999999991</v>
      </c>
      <c r="H13" s="395">
        <v>45</v>
      </c>
      <c r="I13" s="107">
        <f t="shared" si="10"/>
        <v>8.85</v>
      </c>
      <c r="J13" s="395">
        <v>45.7</v>
      </c>
      <c r="K13" s="107">
        <f t="shared" si="11"/>
        <v>9.61</v>
      </c>
      <c r="L13" s="153">
        <f t="shared" si="0"/>
        <v>90.7</v>
      </c>
      <c r="M13" s="107">
        <f t="shared" si="12"/>
        <v>9.2200000000000006</v>
      </c>
      <c r="N13" s="154">
        <f t="shared" si="13"/>
        <v>411.5</v>
      </c>
      <c r="O13" s="107">
        <f t="shared" si="1"/>
        <v>8.3699999999999992</v>
      </c>
      <c r="P13" s="154">
        <f t="shared" si="2"/>
        <v>437.5</v>
      </c>
      <c r="Q13" s="107">
        <f t="shared" si="3"/>
        <v>9.32</v>
      </c>
      <c r="R13" s="153">
        <f t="shared" si="4"/>
        <v>849</v>
      </c>
      <c r="S13" s="107">
        <f t="shared" si="5"/>
        <v>8.83</v>
      </c>
    </row>
    <row r="14" spans="1:20" ht="21" customHeight="1">
      <c r="A14" s="221" t="s">
        <v>1072</v>
      </c>
      <c r="B14" s="394">
        <v>338.8</v>
      </c>
      <c r="C14" s="107">
        <f t="shared" si="6"/>
        <v>7.69</v>
      </c>
      <c r="D14" s="395">
        <v>317.3</v>
      </c>
      <c r="E14" s="107">
        <f t="shared" si="7"/>
        <v>7.52</v>
      </c>
      <c r="F14" s="153">
        <f t="shared" si="8"/>
        <v>656.1</v>
      </c>
      <c r="G14" s="107">
        <f>ROUND(F14/F$26*100,2)-0.01</f>
        <v>7.6000000000000005</v>
      </c>
      <c r="H14" s="395">
        <v>40.799999999999997</v>
      </c>
      <c r="I14" s="107">
        <f t="shared" si="10"/>
        <v>8.02</v>
      </c>
      <c r="J14" s="395">
        <v>39.200000000000003</v>
      </c>
      <c r="K14" s="107">
        <f t="shared" si="11"/>
        <v>8.25</v>
      </c>
      <c r="L14" s="153">
        <f t="shared" si="0"/>
        <v>80</v>
      </c>
      <c r="M14" s="107">
        <f t="shared" si="12"/>
        <v>8.1300000000000008</v>
      </c>
      <c r="N14" s="154">
        <f t="shared" si="13"/>
        <v>379.6</v>
      </c>
      <c r="O14" s="107">
        <f t="shared" si="1"/>
        <v>7.72</v>
      </c>
      <c r="P14" s="154">
        <f t="shared" si="2"/>
        <v>356.5</v>
      </c>
      <c r="Q14" s="107">
        <f t="shared" si="3"/>
        <v>7.59</v>
      </c>
      <c r="R14" s="153">
        <f t="shared" si="4"/>
        <v>736.1</v>
      </c>
      <c r="S14" s="107">
        <f t="shared" si="5"/>
        <v>7.66</v>
      </c>
    </row>
    <row r="15" spans="1:20" ht="21" customHeight="1">
      <c r="A15" s="221" t="s">
        <v>1073</v>
      </c>
      <c r="B15" s="394">
        <v>321.7</v>
      </c>
      <c r="C15" s="107">
        <f t="shared" si="6"/>
        <v>7.3</v>
      </c>
      <c r="D15" s="395">
        <v>297.60000000000002</v>
      </c>
      <c r="E15" s="107">
        <f t="shared" si="7"/>
        <v>7.05</v>
      </c>
      <c r="F15" s="153">
        <f t="shared" si="8"/>
        <v>619.29999999999995</v>
      </c>
      <c r="G15" s="107">
        <f t="shared" si="9"/>
        <v>7.18</v>
      </c>
      <c r="H15" s="395">
        <v>39.9</v>
      </c>
      <c r="I15" s="107">
        <f t="shared" si="10"/>
        <v>7.85</v>
      </c>
      <c r="J15" s="395">
        <v>39.1</v>
      </c>
      <c r="K15" s="107">
        <f t="shared" si="11"/>
        <v>8.2200000000000006</v>
      </c>
      <c r="L15" s="153">
        <f t="shared" si="0"/>
        <v>79</v>
      </c>
      <c r="M15" s="107">
        <f t="shared" si="12"/>
        <v>8.0299999999999994</v>
      </c>
      <c r="N15" s="154">
        <f t="shared" si="13"/>
        <v>361.59999999999997</v>
      </c>
      <c r="O15" s="107">
        <f>ROUND(N15/N$26*100,2)+0.01</f>
        <v>7.3599999999999994</v>
      </c>
      <c r="P15" s="154">
        <f t="shared" si="2"/>
        <v>336.70000000000005</v>
      </c>
      <c r="Q15" s="107">
        <f t="shared" si="3"/>
        <v>7.17</v>
      </c>
      <c r="R15" s="153">
        <f t="shared" si="4"/>
        <v>698.3</v>
      </c>
      <c r="S15" s="107">
        <f t="shared" si="5"/>
        <v>7.27</v>
      </c>
    </row>
    <row r="16" spans="1:20" ht="21" customHeight="1">
      <c r="A16" s="221" t="s">
        <v>1080</v>
      </c>
      <c r="B16" s="394">
        <v>249.5</v>
      </c>
      <c r="C16" s="107">
        <f t="shared" si="6"/>
        <v>5.66</v>
      </c>
      <c r="D16" s="395">
        <v>205.3</v>
      </c>
      <c r="E16" s="107">
        <f t="shared" si="7"/>
        <v>4.87</v>
      </c>
      <c r="F16" s="153">
        <f t="shared" si="8"/>
        <v>454.8</v>
      </c>
      <c r="G16" s="107">
        <f t="shared" si="9"/>
        <v>5.27</v>
      </c>
      <c r="H16" s="395">
        <v>34.5</v>
      </c>
      <c r="I16" s="107">
        <f t="shared" si="10"/>
        <v>6.78</v>
      </c>
      <c r="J16" s="395">
        <v>27.3</v>
      </c>
      <c r="K16" s="107">
        <f t="shared" si="11"/>
        <v>5.74</v>
      </c>
      <c r="L16" s="153">
        <f t="shared" si="0"/>
        <v>61.8</v>
      </c>
      <c r="M16" s="107">
        <f t="shared" si="12"/>
        <v>6.28</v>
      </c>
      <c r="N16" s="154">
        <f t="shared" si="13"/>
        <v>284</v>
      </c>
      <c r="O16" s="107">
        <f t="shared" ref="O16:O25" si="14">ROUND(N16/N$26*100,2)</f>
        <v>5.78</v>
      </c>
      <c r="P16" s="154">
        <f t="shared" si="2"/>
        <v>232.60000000000002</v>
      </c>
      <c r="Q16" s="107">
        <f t="shared" si="3"/>
        <v>4.95</v>
      </c>
      <c r="R16" s="153">
        <f t="shared" si="4"/>
        <v>516.6</v>
      </c>
      <c r="S16" s="107">
        <f>ROUND(R16/R$26*100,2)-0.01</f>
        <v>5.37</v>
      </c>
    </row>
    <row r="17" spans="1:19" ht="21" customHeight="1">
      <c r="A17" s="221" t="s">
        <v>1081</v>
      </c>
      <c r="B17" s="131">
        <v>219.2</v>
      </c>
      <c r="C17" s="107">
        <f t="shared" si="6"/>
        <v>4.97</v>
      </c>
      <c r="D17" s="152">
        <v>190.2</v>
      </c>
      <c r="E17" s="107">
        <f t="shared" si="7"/>
        <v>4.51</v>
      </c>
      <c r="F17" s="153">
        <f t="shared" si="8"/>
        <v>409.4</v>
      </c>
      <c r="G17" s="107">
        <f t="shared" si="9"/>
        <v>4.75</v>
      </c>
      <c r="H17" s="152">
        <v>30.3</v>
      </c>
      <c r="I17" s="107">
        <f t="shared" si="10"/>
        <v>5.96</v>
      </c>
      <c r="J17" s="152">
        <v>24.2</v>
      </c>
      <c r="K17" s="107">
        <f t="shared" si="11"/>
        <v>5.09</v>
      </c>
      <c r="L17" s="153">
        <f t="shared" si="0"/>
        <v>54.5</v>
      </c>
      <c r="M17" s="107">
        <f t="shared" si="12"/>
        <v>5.54</v>
      </c>
      <c r="N17" s="154">
        <f t="shared" si="13"/>
        <v>249.5</v>
      </c>
      <c r="O17" s="107">
        <f t="shared" si="14"/>
        <v>5.07</v>
      </c>
      <c r="P17" s="154">
        <f t="shared" si="2"/>
        <v>214.39999999999998</v>
      </c>
      <c r="Q17" s="107">
        <f t="shared" si="3"/>
        <v>4.57</v>
      </c>
      <c r="R17" s="153">
        <f t="shared" si="4"/>
        <v>463.9</v>
      </c>
      <c r="S17" s="107">
        <f t="shared" ref="S17:S25" si="15">ROUND(R17/R$26*100,2)</f>
        <v>4.83</v>
      </c>
    </row>
    <row r="18" spans="1:19" ht="21" customHeight="1">
      <c r="A18" s="221" t="s">
        <v>1082</v>
      </c>
      <c r="B18" s="131">
        <v>145.80000000000001</v>
      </c>
      <c r="C18" s="107">
        <f t="shared" si="6"/>
        <v>3.31</v>
      </c>
      <c r="D18" s="152">
        <v>132.80000000000001</v>
      </c>
      <c r="E18" s="107">
        <f t="shared" si="7"/>
        <v>3.15</v>
      </c>
      <c r="F18" s="153">
        <f t="shared" si="8"/>
        <v>278.60000000000002</v>
      </c>
      <c r="G18" s="107">
        <f t="shared" si="9"/>
        <v>3.23</v>
      </c>
      <c r="H18" s="152">
        <v>20.8</v>
      </c>
      <c r="I18" s="107">
        <f t="shared" si="10"/>
        <v>4.09</v>
      </c>
      <c r="J18" s="152">
        <v>16.7</v>
      </c>
      <c r="K18" s="107">
        <f t="shared" si="11"/>
        <v>3.51</v>
      </c>
      <c r="L18" s="153">
        <f t="shared" si="0"/>
        <v>37.5</v>
      </c>
      <c r="M18" s="107">
        <f t="shared" si="12"/>
        <v>3.81</v>
      </c>
      <c r="N18" s="154">
        <f t="shared" si="13"/>
        <v>166.60000000000002</v>
      </c>
      <c r="O18" s="107">
        <f t="shared" si="14"/>
        <v>3.39</v>
      </c>
      <c r="P18" s="154">
        <f t="shared" si="2"/>
        <v>149.5</v>
      </c>
      <c r="Q18" s="107">
        <f t="shared" si="3"/>
        <v>3.18</v>
      </c>
      <c r="R18" s="153">
        <f t="shared" si="4"/>
        <v>316.10000000000002</v>
      </c>
      <c r="S18" s="107">
        <f t="shared" si="15"/>
        <v>3.29</v>
      </c>
    </row>
    <row r="19" spans="1:19" ht="21" customHeight="1">
      <c r="A19" s="221" t="s">
        <v>1083</v>
      </c>
      <c r="B19" s="131">
        <v>126.5</v>
      </c>
      <c r="C19" s="107">
        <f t="shared" si="6"/>
        <v>2.87</v>
      </c>
      <c r="D19" s="152">
        <v>121.7</v>
      </c>
      <c r="E19" s="107">
        <f t="shared" si="7"/>
        <v>2.88</v>
      </c>
      <c r="F19" s="153">
        <f t="shared" si="8"/>
        <v>248.2</v>
      </c>
      <c r="G19" s="107">
        <f t="shared" si="9"/>
        <v>2.88</v>
      </c>
      <c r="H19" s="152">
        <v>16.7</v>
      </c>
      <c r="I19" s="107">
        <f t="shared" si="10"/>
        <v>3.28</v>
      </c>
      <c r="J19" s="152">
        <v>13.4</v>
      </c>
      <c r="K19" s="107">
        <f t="shared" si="11"/>
        <v>2.82</v>
      </c>
      <c r="L19" s="153">
        <f t="shared" si="0"/>
        <v>30.1</v>
      </c>
      <c r="M19" s="107">
        <f t="shared" si="12"/>
        <v>3.06</v>
      </c>
      <c r="N19" s="154">
        <f t="shared" si="13"/>
        <v>143.19999999999999</v>
      </c>
      <c r="O19" s="107">
        <f t="shared" si="14"/>
        <v>2.91</v>
      </c>
      <c r="P19" s="154">
        <f t="shared" si="2"/>
        <v>135.1</v>
      </c>
      <c r="Q19" s="107">
        <f t="shared" si="3"/>
        <v>2.88</v>
      </c>
      <c r="R19" s="153">
        <f t="shared" si="4"/>
        <v>278.29999999999995</v>
      </c>
      <c r="S19" s="107">
        <f t="shared" si="15"/>
        <v>2.9</v>
      </c>
    </row>
    <row r="20" spans="1:19" ht="21" customHeight="1">
      <c r="A20" s="221" t="s">
        <v>1084</v>
      </c>
      <c r="B20" s="131">
        <v>95.7</v>
      </c>
      <c r="C20" s="107">
        <f t="shared" si="6"/>
        <v>2.17</v>
      </c>
      <c r="D20" s="152">
        <v>103.9</v>
      </c>
      <c r="E20" s="107">
        <f t="shared" si="7"/>
        <v>2.46</v>
      </c>
      <c r="F20" s="153">
        <f t="shared" si="8"/>
        <v>199.60000000000002</v>
      </c>
      <c r="G20" s="107">
        <f t="shared" si="9"/>
        <v>2.31</v>
      </c>
      <c r="H20" s="152">
        <v>11.3</v>
      </c>
      <c r="I20" s="107">
        <f t="shared" si="10"/>
        <v>2.2200000000000002</v>
      </c>
      <c r="J20" s="152">
        <v>11.9</v>
      </c>
      <c r="K20" s="107">
        <f t="shared" si="11"/>
        <v>2.5</v>
      </c>
      <c r="L20" s="153">
        <f t="shared" si="0"/>
        <v>23.200000000000003</v>
      </c>
      <c r="M20" s="107">
        <f t="shared" si="12"/>
        <v>2.36</v>
      </c>
      <c r="N20" s="154">
        <f t="shared" si="13"/>
        <v>107</v>
      </c>
      <c r="O20" s="107">
        <f t="shared" si="14"/>
        <v>2.1800000000000002</v>
      </c>
      <c r="P20" s="154">
        <f t="shared" si="2"/>
        <v>115.80000000000001</v>
      </c>
      <c r="Q20" s="107">
        <f t="shared" si="3"/>
        <v>2.4700000000000002</v>
      </c>
      <c r="R20" s="153">
        <f t="shared" si="4"/>
        <v>222.8</v>
      </c>
      <c r="S20" s="107">
        <f t="shared" si="15"/>
        <v>2.3199999999999998</v>
      </c>
    </row>
    <row r="21" spans="1:19" ht="21" customHeight="1">
      <c r="A21" s="221" t="s">
        <v>1085</v>
      </c>
      <c r="B21" s="131">
        <v>79</v>
      </c>
      <c r="C21" s="107">
        <f t="shared" si="6"/>
        <v>1.79</v>
      </c>
      <c r="D21" s="152">
        <v>89.2</v>
      </c>
      <c r="E21" s="107">
        <f t="shared" si="7"/>
        <v>2.11</v>
      </c>
      <c r="F21" s="153">
        <f t="shared" si="8"/>
        <v>168.2</v>
      </c>
      <c r="G21" s="107">
        <f t="shared" si="9"/>
        <v>1.95</v>
      </c>
      <c r="H21" s="152">
        <v>9</v>
      </c>
      <c r="I21" s="107">
        <f t="shared" si="10"/>
        <v>1.77</v>
      </c>
      <c r="J21" s="152">
        <v>9.9</v>
      </c>
      <c r="K21" s="107">
        <f t="shared" si="11"/>
        <v>2.08</v>
      </c>
      <c r="L21" s="153">
        <f t="shared" si="0"/>
        <v>18.899999999999999</v>
      </c>
      <c r="M21" s="107">
        <f t="shared" si="12"/>
        <v>1.92</v>
      </c>
      <c r="N21" s="154">
        <f t="shared" si="13"/>
        <v>88</v>
      </c>
      <c r="O21" s="107">
        <f t="shared" si="14"/>
        <v>1.79</v>
      </c>
      <c r="P21" s="154">
        <f t="shared" si="2"/>
        <v>99.100000000000009</v>
      </c>
      <c r="Q21" s="107">
        <f t="shared" si="3"/>
        <v>2.11</v>
      </c>
      <c r="R21" s="153">
        <f t="shared" si="4"/>
        <v>187.10000000000002</v>
      </c>
      <c r="S21" s="107">
        <f t="shared" si="15"/>
        <v>1.95</v>
      </c>
    </row>
    <row r="22" spans="1:19" ht="21" customHeight="1">
      <c r="A22" s="221" t="s">
        <v>1087</v>
      </c>
      <c r="B22" s="131">
        <v>60.7</v>
      </c>
      <c r="C22" s="107">
        <f t="shared" si="6"/>
        <v>1.38</v>
      </c>
      <c r="D22" s="152">
        <v>59.9</v>
      </c>
      <c r="E22" s="107">
        <f t="shared" si="7"/>
        <v>1.42</v>
      </c>
      <c r="F22" s="153">
        <f t="shared" si="8"/>
        <v>120.6</v>
      </c>
      <c r="G22" s="107">
        <f t="shared" si="9"/>
        <v>1.4</v>
      </c>
      <c r="H22" s="152">
        <v>6.9</v>
      </c>
      <c r="I22" s="107">
        <f t="shared" si="10"/>
        <v>1.36</v>
      </c>
      <c r="J22" s="152">
        <v>6.7</v>
      </c>
      <c r="K22" s="107">
        <f t="shared" si="11"/>
        <v>1.41</v>
      </c>
      <c r="L22" s="153">
        <f t="shared" si="0"/>
        <v>13.600000000000001</v>
      </c>
      <c r="M22" s="107">
        <f t="shared" si="12"/>
        <v>1.38</v>
      </c>
      <c r="N22" s="154">
        <f t="shared" si="13"/>
        <v>67.600000000000009</v>
      </c>
      <c r="O22" s="107">
        <f t="shared" si="14"/>
        <v>1.37</v>
      </c>
      <c r="P22" s="154">
        <f t="shared" si="2"/>
        <v>66.599999999999994</v>
      </c>
      <c r="Q22" s="107">
        <f t="shared" si="3"/>
        <v>1.42</v>
      </c>
      <c r="R22" s="153">
        <f t="shared" si="4"/>
        <v>134.19999999999999</v>
      </c>
      <c r="S22" s="107">
        <f t="shared" si="15"/>
        <v>1.4</v>
      </c>
    </row>
    <row r="23" spans="1:19" ht="21" customHeight="1">
      <c r="A23" s="221" t="s">
        <v>1088</v>
      </c>
      <c r="B23" s="131">
        <v>33.6</v>
      </c>
      <c r="C23" s="107">
        <f t="shared" si="6"/>
        <v>0.76</v>
      </c>
      <c r="D23" s="152">
        <v>31.6</v>
      </c>
      <c r="E23" s="107">
        <f t="shared" si="7"/>
        <v>0.75</v>
      </c>
      <c r="F23" s="153">
        <f t="shared" si="8"/>
        <v>65.2</v>
      </c>
      <c r="G23" s="107">
        <f t="shared" si="9"/>
        <v>0.76</v>
      </c>
      <c r="H23" s="152">
        <v>3.7</v>
      </c>
      <c r="I23" s="107">
        <f t="shared" si="10"/>
        <v>0.73</v>
      </c>
      <c r="J23" s="152">
        <v>3.6</v>
      </c>
      <c r="K23" s="107">
        <f t="shared" si="11"/>
        <v>0.76</v>
      </c>
      <c r="L23" s="153">
        <f t="shared" si="0"/>
        <v>7.3000000000000007</v>
      </c>
      <c r="M23" s="107">
        <f t="shared" si="12"/>
        <v>0.74</v>
      </c>
      <c r="N23" s="154">
        <f t="shared" si="13"/>
        <v>37.300000000000004</v>
      </c>
      <c r="O23" s="107">
        <f t="shared" si="14"/>
        <v>0.76</v>
      </c>
      <c r="P23" s="154">
        <f t="shared" si="2"/>
        <v>35.200000000000003</v>
      </c>
      <c r="Q23" s="107">
        <f t="shared" si="3"/>
        <v>0.75</v>
      </c>
      <c r="R23" s="153">
        <f t="shared" si="4"/>
        <v>72.5</v>
      </c>
      <c r="S23" s="107">
        <f t="shared" si="15"/>
        <v>0.75</v>
      </c>
    </row>
    <row r="24" spans="1:19" ht="21" customHeight="1">
      <c r="A24" s="221" t="s">
        <v>1089</v>
      </c>
      <c r="B24" s="131">
        <v>35.4</v>
      </c>
      <c r="C24" s="107">
        <f t="shared" si="6"/>
        <v>0.8</v>
      </c>
      <c r="D24" s="152">
        <v>36</v>
      </c>
      <c r="E24" s="107">
        <f t="shared" si="7"/>
        <v>0.85</v>
      </c>
      <c r="F24" s="153">
        <f t="shared" si="8"/>
        <v>71.400000000000006</v>
      </c>
      <c r="G24" s="107">
        <f t="shared" si="9"/>
        <v>0.83</v>
      </c>
      <c r="H24" s="152">
        <v>4.0999999999999996</v>
      </c>
      <c r="I24" s="107">
        <f t="shared" si="10"/>
        <v>0.81</v>
      </c>
      <c r="J24" s="152">
        <v>4.5</v>
      </c>
      <c r="K24" s="107">
        <f t="shared" si="11"/>
        <v>0.95</v>
      </c>
      <c r="L24" s="153">
        <f t="shared" si="0"/>
        <v>8.6</v>
      </c>
      <c r="M24" s="107">
        <f t="shared" si="12"/>
        <v>0.87</v>
      </c>
      <c r="N24" s="154">
        <f t="shared" si="13"/>
        <v>39.5</v>
      </c>
      <c r="O24" s="107">
        <f t="shared" si="14"/>
        <v>0.8</v>
      </c>
      <c r="P24" s="154">
        <f t="shared" si="2"/>
        <v>40.5</v>
      </c>
      <c r="Q24" s="107">
        <f t="shared" si="3"/>
        <v>0.86</v>
      </c>
      <c r="R24" s="153">
        <f t="shared" si="4"/>
        <v>80</v>
      </c>
      <c r="S24" s="107">
        <f t="shared" si="15"/>
        <v>0.83</v>
      </c>
    </row>
    <row r="25" spans="1:19" ht="27" customHeight="1">
      <c r="A25" s="219" t="s">
        <v>451</v>
      </c>
      <c r="B25" s="131">
        <v>3.4</v>
      </c>
      <c r="C25" s="107">
        <f t="shared" si="6"/>
        <v>0.08</v>
      </c>
      <c r="D25" s="152">
        <v>2.8</v>
      </c>
      <c r="E25" s="107">
        <f t="shared" si="7"/>
        <v>7.0000000000000007E-2</v>
      </c>
      <c r="F25" s="153">
        <f t="shared" si="8"/>
        <v>6.1999999999999993</v>
      </c>
      <c r="G25" s="107">
        <f t="shared" si="9"/>
        <v>7.0000000000000007E-2</v>
      </c>
      <c r="H25" s="152">
        <v>0.5</v>
      </c>
      <c r="I25" s="107">
        <f t="shared" si="10"/>
        <v>0.1</v>
      </c>
      <c r="J25" s="152">
        <v>0.3</v>
      </c>
      <c r="K25" s="107">
        <f t="shared" si="11"/>
        <v>0.06</v>
      </c>
      <c r="L25" s="153">
        <f t="shared" si="0"/>
        <v>0.8</v>
      </c>
      <c r="M25" s="107">
        <f t="shared" si="12"/>
        <v>0.08</v>
      </c>
      <c r="N25" s="154">
        <f t="shared" si="13"/>
        <v>3.9</v>
      </c>
      <c r="O25" s="107">
        <f t="shared" si="14"/>
        <v>0.08</v>
      </c>
      <c r="P25" s="154">
        <f t="shared" si="2"/>
        <v>3.0999999999999996</v>
      </c>
      <c r="Q25" s="107">
        <f t="shared" si="3"/>
        <v>7.0000000000000007E-2</v>
      </c>
      <c r="R25" s="153">
        <f t="shared" si="4"/>
        <v>7</v>
      </c>
      <c r="S25" s="107">
        <f t="shared" si="15"/>
        <v>7.0000000000000007E-2</v>
      </c>
    </row>
    <row r="26" spans="1:19" ht="18.75" customHeight="1">
      <c r="A26" s="210" t="s">
        <v>1086</v>
      </c>
      <c r="B26" s="212">
        <f>SUM(B8:B25)</f>
        <v>4407.8999999999996</v>
      </c>
      <c r="C26" s="211">
        <f t="shared" ref="C26:S26" si="16">SUM(C8:C25)</f>
        <v>100.00000000000001</v>
      </c>
      <c r="D26" s="212">
        <f t="shared" si="16"/>
        <v>4219.0000000000009</v>
      </c>
      <c r="E26" s="211">
        <f t="shared" si="16"/>
        <v>99.999999999999986</v>
      </c>
      <c r="F26" s="212">
        <f t="shared" si="16"/>
        <v>8626.9000000000033</v>
      </c>
      <c r="G26" s="211">
        <f t="shared" si="16"/>
        <v>99.999999999999986</v>
      </c>
      <c r="H26" s="212">
        <f t="shared" si="16"/>
        <v>508.5</v>
      </c>
      <c r="I26" s="211">
        <f t="shared" si="16"/>
        <v>99.999999999999986</v>
      </c>
      <c r="J26" s="212">
        <f t="shared" si="16"/>
        <v>475.4</v>
      </c>
      <c r="K26" s="211">
        <f t="shared" si="16"/>
        <v>100</v>
      </c>
      <c r="L26" s="212">
        <f t="shared" si="16"/>
        <v>983.9</v>
      </c>
      <c r="M26" s="211">
        <f t="shared" si="16"/>
        <v>100</v>
      </c>
      <c r="N26" s="212">
        <f t="shared" si="16"/>
        <v>4916.3999999999996</v>
      </c>
      <c r="O26" s="211">
        <f t="shared" si="16"/>
        <v>100.00000000000001</v>
      </c>
      <c r="P26" s="212">
        <f t="shared" si="16"/>
        <v>4694.4000000000015</v>
      </c>
      <c r="Q26" s="211">
        <f t="shared" si="16"/>
        <v>100.00000000000001</v>
      </c>
      <c r="R26" s="212">
        <f t="shared" si="16"/>
        <v>9610.8000000000011</v>
      </c>
      <c r="S26" s="211">
        <f t="shared" si="16"/>
        <v>100</v>
      </c>
    </row>
    <row r="27" spans="1:19">
      <c r="A27" s="16"/>
      <c r="N27" s="328"/>
      <c r="O27" s="328"/>
      <c r="P27" s="328"/>
      <c r="Q27" s="328"/>
      <c r="R27" s="328"/>
      <c r="S27" s="1127" t="s">
        <v>1130</v>
      </c>
    </row>
    <row r="28" spans="1:19">
      <c r="A28" s="16"/>
    </row>
  </sheetData>
  <mergeCells count="15">
    <mergeCell ref="A1:S1"/>
    <mergeCell ref="A2:S2"/>
    <mergeCell ref="N5:O5"/>
    <mergeCell ref="P5:Q5"/>
    <mergeCell ref="R5:S5"/>
    <mergeCell ref="N4:S4"/>
    <mergeCell ref="J5:K5"/>
    <mergeCell ref="L5:M5"/>
    <mergeCell ref="A4:A6"/>
    <mergeCell ref="B4:G4"/>
    <mergeCell ref="H4:M4"/>
    <mergeCell ref="B5:C5"/>
    <mergeCell ref="D5:E5"/>
    <mergeCell ref="F5:G5"/>
    <mergeCell ref="H5:I5"/>
  </mergeCells>
  <phoneticPr fontId="0" type="noConversion"/>
  <printOptions horizontalCentered="1"/>
  <pageMargins left="0.1" right="0.1" top="0.75" bottom="0.1" header="0.5" footer="0.1"/>
  <pageSetup paperSize="9" scale="99" orientation="landscape" blackAndWhite="1" r:id="rId1"/>
  <headerFooter alignWithMargins="0"/>
</worksheet>
</file>

<file path=xl/worksheets/sheet15.xml><?xml version="1.0" encoding="utf-8"?>
<worksheet xmlns="http://schemas.openxmlformats.org/spreadsheetml/2006/main" xmlns:r="http://schemas.openxmlformats.org/officeDocument/2006/relationships">
  <sheetPr codeName="Sheet39"/>
  <dimension ref="A1:T28"/>
  <sheetViews>
    <sheetView topLeftCell="A4" workbookViewId="0">
      <selection activeCell="C3" sqref="C3"/>
    </sheetView>
  </sheetViews>
  <sheetFormatPr defaultColWidth="8.28515625" defaultRowHeight="12.75"/>
  <cols>
    <col min="1" max="1" width="9.5703125" style="128" customWidth="1"/>
    <col min="2" max="2" width="7.85546875" style="128" customWidth="1"/>
    <col min="3" max="3" width="6.140625" style="128" customWidth="1"/>
    <col min="4" max="4" width="8.28515625" style="128" customWidth="1"/>
    <col min="5" max="5" width="6.140625" style="128" customWidth="1"/>
    <col min="6" max="6" width="8.28515625" style="128" customWidth="1"/>
    <col min="7" max="7" width="6.140625" style="128" customWidth="1"/>
    <col min="8" max="8" width="8.28515625" style="128" customWidth="1"/>
    <col min="9" max="9" width="6.140625" style="128" customWidth="1"/>
    <col min="10" max="10" width="8.28515625" style="128" customWidth="1"/>
    <col min="11" max="11" width="6.140625" style="128" customWidth="1"/>
    <col min="12" max="12" width="8.28515625" style="128" customWidth="1"/>
    <col min="13" max="13" width="6.140625" style="128" customWidth="1"/>
    <col min="14" max="14" width="8.28515625" style="128" customWidth="1"/>
    <col min="15" max="15" width="6.140625" style="128" customWidth="1"/>
    <col min="16" max="16" width="8.28515625" style="128" customWidth="1"/>
    <col min="17" max="17" width="6.140625" style="128" customWidth="1"/>
    <col min="18" max="18" width="8.28515625" style="128" customWidth="1"/>
    <col min="19" max="19" width="6.140625" style="128" customWidth="1"/>
    <col min="20" max="16384" width="8.28515625" style="128"/>
  </cols>
  <sheetData>
    <row r="1" spans="1:20" ht="12.75" customHeight="1">
      <c r="A1" s="1825" t="s">
        <v>804</v>
      </c>
      <c r="B1" s="1825"/>
      <c r="C1" s="1825"/>
      <c r="D1" s="1825"/>
      <c r="E1" s="1825"/>
      <c r="F1" s="1825"/>
      <c r="G1" s="1825"/>
      <c r="H1" s="1825"/>
      <c r="I1" s="1825"/>
      <c r="J1" s="1825"/>
      <c r="K1" s="1825"/>
      <c r="L1" s="1825"/>
      <c r="M1" s="1825"/>
      <c r="N1" s="1825"/>
      <c r="O1" s="1825"/>
      <c r="P1" s="1825"/>
      <c r="Q1" s="1825"/>
      <c r="R1" s="1825"/>
      <c r="S1" s="1825"/>
    </row>
    <row r="2" spans="1:20" ht="15" customHeight="1">
      <c r="A2" s="1835" t="s">
        <v>623</v>
      </c>
      <c r="B2" s="1835"/>
      <c r="C2" s="1835"/>
      <c r="D2" s="1835"/>
      <c r="E2" s="1835"/>
      <c r="F2" s="1835"/>
      <c r="G2" s="1835"/>
      <c r="H2" s="1835"/>
      <c r="I2" s="1835"/>
      <c r="J2" s="1835"/>
      <c r="K2" s="1835"/>
      <c r="L2" s="1835"/>
      <c r="M2" s="1835"/>
      <c r="N2" s="1835"/>
      <c r="O2" s="1835"/>
      <c r="P2" s="1835"/>
      <c r="Q2" s="1835"/>
      <c r="R2" s="1835"/>
      <c r="S2" s="1835"/>
    </row>
    <row r="3" spans="1:20" ht="12.75" customHeight="1">
      <c r="A3" s="129"/>
      <c r="B3" s="129"/>
      <c r="C3" s="129"/>
      <c r="D3" s="129"/>
      <c r="E3" s="129"/>
      <c r="F3" s="129"/>
      <c r="G3" s="129"/>
      <c r="H3" s="129"/>
      <c r="I3" s="129"/>
      <c r="J3" s="129"/>
      <c r="K3" s="129"/>
      <c r="L3" s="129"/>
      <c r="M3" s="129"/>
      <c r="N3" s="129"/>
      <c r="O3" s="129"/>
      <c r="P3" s="129"/>
      <c r="Q3" s="129"/>
      <c r="R3" s="129"/>
      <c r="S3" s="1464" t="s">
        <v>643</v>
      </c>
      <c r="T3" s="150"/>
    </row>
    <row r="4" spans="1:20" ht="15.75" customHeight="1">
      <c r="A4" s="1833" t="s">
        <v>1044</v>
      </c>
      <c r="B4" s="1827" t="s">
        <v>1205</v>
      </c>
      <c r="C4" s="1827"/>
      <c r="D4" s="1827"/>
      <c r="E4" s="1827"/>
      <c r="F4" s="1827"/>
      <c r="G4" s="1828"/>
      <c r="H4" s="1829" t="s">
        <v>1206</v>
      </c>
      <c r="I4" s="1827"/>
      <c r="J4" s="1827"/>
      <c r="K4" s="1827"/>
      <c r="L4" s="1827"/>
      <c r="M4" s="1828"/>
      <c r="N4" s="1829" t="s">
        <v>1207</v>
      </c>
      <c r="O4" s="1827"/>
      <c r="P4" s="1827"/>
      <c r="Q4" s="1827"/>
      <c r="R4" s="1827"/>
      <c r="S4" s="1828"/>
    </row>
    <row r="5" spans="1:20" ht="15.75" customHeight="1">
      <c r="A5" s="1870"/>
      <c r="B5" s="1903" t="s">
        <v>1040</v>
      </c>
      <c r="C5" s="1902"/>
      <c r="D5" s="1901" t="s">
        <v>1041</v>
      </c>
      <c r="E5" s="1902"/>
      <c r="F5" s="1903" t="s">
        <v>979</v>
      </c>
      <c r="G5" s="1902"/>
      <c r="H5" s="1901" t="s">
        <v>1040</v>
      </c>
      <c r="I5" s="1902"/>
      <c r="J5" s="1901" t="s">
        <v>1041</v>
      </c>
      <c r="K5" s="1902"/>
      <c r="L5" s="1903" t="s">
        <v>979</v>
      </c>
      <c r="M5" s="1902"/>
      <c r="N5" s="1901" t="s">
        <v>1040</v>
      </c>
      <c r="O5" s="1902"/>
      <c r="P5" s="1901" t="s">
        <v>1041</v>
      </c>
      <c r="Q5" s="1902"/>
      <c r="R5" s="1903" t="s">
        <v>979</v>
      </c>
      <c r="S5" s="1902"/>
    </row>
    <row r="6" spans="1:20" ht="15.75" customHeight="1">
      <c r="A6" s="1834"/>
      <c r="B6" s="415" t="s">
        <v>1030</v>
      </c>
      <c r="C6" s="414" t="s">
        <v>1045</v>
      </c>
      <c r="D6" s="416" t="s">
        <v>1030</v>
      </c>
      <c r="E6" s="414" t="s">
        <v>1045</v>
      </c>
      <c r="F6" s="415" t="s">
        <v>1030</v>
      </c>
      <c r="G6" s="414" t="s">
        <v>1045</v>
      </c>
      <c r="H6" s="416" t="s">
        <v>1030</v>
      </c>
      <c r="I6" s="414" t="s">
        <v>1045</v>
      </c>
      <c r="J6" s="416" t="s">
        <v>1030</v>
      </c>
      <c r="K6" s="414" t="s">
        <v>1045</v>
      </c>
      <c r="L6" s="415" t="s">
        <v>1030</v>
      </c>
      <c r="M6" s="414" t="s">
        <v>1045</v>
      </c>
      <c r="N6" s="416" t="s">
        <v>1030</v>
      </c>
      <c r="O6" s="414" t="s">
        <v>1045</v>
      </c>
      <c r="P6" s="416" t="s">
        <v>1030</v>
      </c>
      <c r="Q6" s="414" t="s">
        <v>1045</v>
      </c>
      <c r="R6" s="415" t="s">
        <v>1030</v>
      </c>
      <c r="S6" s="414" t="s">
        <v>1045</v>
      </c>
    </row>
    <row r="7" spans="1:20" ht="15.75" customHeight="1">
      <c r="A7" s="209" t="s">
        <v>955</v>
      </c>
      <c r="B7" s="135" t="s">
        <v>956</v>
      </c>
      <c r="C7" s="136" t="s">
        <v>957</v>
      </c>
      <c r="D7" s="137" t="s">
        <v>958</v>
      </c>
      <c r="E7" s="192" t="s">
        <v>959</v>
      </c>
      <c r="F7" s="135" t="s">
        <v>961</v>
      </c>
      <c r="G7" s="192" t="s">
        <v>962</v>
      </c>
      <c r="H7" s="137" t="s">
        <v>990</v>
      </c>
      <c r="I7" s="136" t="s">
        <v>991</v>
      </c>
      <c r="J7" s="137" t="s">
        <v>992</v>
      </c>
      <c r="K7" s="136" t="s">
        <v>993</v>
      </c>
      <c r="L7" s="135" t="s">
        <v>1046</v>
      </c>
      <c r="M7" s="192" t="s">
        <v>1048</v>
      </c>
      <c r="N7" s="191" t="s">
        <v>1049</v>
      </c>
      <c r="O7" s="192" t="s">
        <v>1050</v>
      </c>
      <c r="P7" s="191" t="s">
        <v>1051</v>
      </c>
      <c r="Q7" s="192" t="s">
        <v>1052</v>
      </c>
      <c r="R7" s="135" t="s">
        <v>1054</v>
      </c>
      <c r="S7" s="136" t="s">
        <v>1053</v>
      </c>
    </row>
    <row r="8" spans="1:20" ht="20.25" customHeight="1">
      <c r="A8" s="1322" t="s">
        <v>1055</v>
      </c>
      <c r="B8" s="1323">
        <v>188946</v>
      </c>
      <c r="C8" s="107">
        <f t="shared" ref="C8:C25" si="0">ROUND(B8/B$26*100,2)</f>
        <v>8.14</v>
      </c>
      <c r="D8" s="1323">
        <v>178941</v>
      </c>
      <c r="E8" s="107">
        <f t="shared" ref="E8:E25" si="1">ROUND(D8/D$26*100,2)</f>
        <v>8.2100000000000009</v>
      </c>
      <c r="F8" s="1325">
        <f t="shared" ref="F8:F25" si="2">SUM(B8,D8)</f>
        <v>367887</v>
      </c>
      <c r="G8" s="107">
        <f t="shared" ref="G8:G13" si="3">ROUND(F8/F$26*100,2)</f>
        <v>8.17</v>
      </c>
      <c r="H8" s="1323">
        <v>22745</v>
      </c>
      <c r="I8" s="107">
        <f t="shared" ref="I8:I25" si="4">ROUND(H8/H$26*100,2)</f>
        <v>7.4</v>
      </c>
      <c r="J8" s="1323">
        <v>21811</v>
      </c>
      <c r="K8" s="107">
        <f>ROUND(J8/J$26*100,2)</f>
        <v>7.64</v>
      </c>
      <c r="L8" s="1325">
        <f t="shared" ref="L8:L25" si="5">SUM(H8,J8)</f>
        <v>44556</v>
      </c>
      <c r="M8" s="107">
        <f>ROUND(L8/L$26*100,2)</f>
        <v>7.52</v>
      </c>
      <c r="N8" s="1326">
        <f t="shared" ref="N8:N25" si="6">B8+H8</f>
        <v>211691</v>
      </c>
      <c r="O8" s="107">
        <f t="shared" ref="O8:O14" si="7">ROUND(N8/N$26*100,2)</f>
        <v>8.0500000000000007</v>
      </c>
      <c r="P8" s="1326">
        <f t="shared" ref="P8:P25" si="8">D8+J8</f>
        <v>200752</v>
      </c>
      <c r="Q8" s="107">
        <f t="shared" ref="Q8:Q25" si="9">ROUND(P8/P$26*100,2)</f>
        <v>8.14</v>
      </c>
      <c r="R8" s="1325">
        <f t="shared" ref="R8:R25" si="10">N8+P8</f>
        <v>412443</v>
      </c>
      <c r="S8" s="107">
        <f t="shared" ref="S8:S15" si="11">ROUND(R8/R$26*100,2)</f>
        <v>8.09</v>
      </c>
    </row>
    <row r="9" spans="1:20" ht="20.25" customHeight="1">
      <c r="A9" s="396" t="s">
        <v>1056</v>
      </c>
      <c r="B9" s="1323">
        <v>205882</v>
      </c>
      <c r="C9" s="107">
        <f t="shared" si="0"/>
        <v>8.86</v>
      </c>
      <c r="D9" s="1323">
        <v>196871</v>
      </c>
      <c r="E9" s="107">
        <f t="shared" si="1"/>
        <v>9.0299999999999994</v>
      </c>
      <c r="F9" s="1325">
        <f t="shared" si="2"/>
        <v>402753</v>
      </c>
      <c r="G9" s="107">
        <f t="shared" si="3"/>
        <v>8.94</v>
      </c>
      <c r="H9" s="1323">
        <v>25204</v>
      </c>
      <c r="I9" s="107">
        <f t="shared" si="4"/>
        <v>8.1999999999999993</v>
      </c>
      <c r="J9" s="1323">
        <v>24090</v>
      </c>
      <c r="K9" s="107">
        <f t="shared" ref="K9:K25" si="12">ROUND(J9/J$26*100,2)</f>
        <v>8.44</v>
      </c>
      <c r="L9" s="1325">
        <f t="shared" si="5"/>
        <v>49294</v>
      </c>
      <c r="M9" s="107">
        <f t="shared" ref="M9:M25" si="13">ROUND(L9/L$26*100,2)</f>
        <v>8.32</v>
      </c>
      <c r="N9" s="1326">
        <f t="shared" si="6"/>
        <v>231086</v>
      </c>
      <c r="O9" s="107">
        <f t="shared" si="7"/>
        <v>8.7899999999999991</v>
      </c>
      <c r="P9" s="1326">
        <f t="shared" si="8"/>
        <v>220961</v>
      </c>
      <c r="Q9" s="107">
        <f t="shared" si="9"/>
        <v>8.9600000000000009</v>
      </c>
      <c r="R9" s="1325">
        <f t="shared" si="10"/>
        <v>452047</v>
      </c>
      <c r="S9" s="107">
        <f t="shared" si="11"/>
        <v>8.8699999999999992</v>
      </c>
    </row>
    <row r="10" spans="1:20" ht="20.25" customHeight="1">
      <c r="A10" s="221" t="s">
        <v>1068</v>
      </c>
      <c r="B10" s="1323">
        <v>229992</v>
      </c>
      <c r="C10" s="107">
        <f t="shared" si="0"/>
        <v>9.9</v>
      </c>
      <c r="D10" s="1323">
        <v>219877</v>
      </c>
      <c r="E10" s="107">
        <f t="shared" si="1"/>
        <v>10.08</v>
      </c>
      <c r="F10" s="1325">
        <f t="shared" si="2"/>
        <v>449869</v>
      </c>
      <c r="G10" s="107">
        <f t="shared" si="3"/>
        <v>9.99</v>
      </c>
      <c r="H10" s="1323">
        <v>28535</v>
      </c>
      <c r="I10" s="107">
        <f t="shared" si="4"/>
        <v>9.2899999999999991</v>
      </c>
      <c r="J10" s="1323">
        <v>27165</v>
      </c>
      <c r="K10" s="107">
        <f t="shared" si="12"/>
        <v>9.52</v>
      </c>
      <c r="L10" s="1325">
        <f t="shared" si="5"/>
        <v>55700</v>
      </c>
      <c r="M10" s="107">
        <f t="shared" si="13"/>
        <v>9.4</v>
      </c>
      <c r="N10" s="1326">
        <f t="shared" si="6"/>
        <v>258527</v>
      </c>
      <c r="O10" s="107">
        <f t="shared" si="7"/>
        <v>9.83</v>
      </c>
      <c r="P10" s="1326">
        <f t="shared" si="8"/>
        <v>247042</v>
      </c>
      <c r="Q10" s="107">
        <f t="shared" si="9"/>
        <v>10.02</v>
      </c>
      <c r="R10" s="1325">
        <f t="shared" si="10"/>
        <v>505569</v>
      </c>
      <c r="S10" s="107">
        <f t="shared" si="11"/>
        <v>9.92</v>
      </c>
    </row>
    <row r="11" spans="1:20" ht="20.25" customHeight="1">
      <c r="A11" s="221" t="s">
        <v>1069</v>
      </c>
      <c r="B11" s="1323">
        <v>238623</v>
      </c>
      <c r="C11" s="107">
        <f t="shared" si="0"/>
        <v>10.27</v>
      </c>
      <c r="D11" s="1323">
        <v>221836</v>
      </c>
      <c r="E11" s="107">
        <f t="shared" si="1"/>
        <v>10.17</v>
      </c>
      <c r="F11" s="1325">
        <f t="shared" si="2"/>
        <v>460459</v>
      </c>
      <c r="G11" s="107">
        <f t="shared" si="3"/>
        <v>10.23</v>
      </c>
      <c r="H11" s="1323">
        <v>32777</v>
      </c>
      <c r="I11" s="107">
        <f t="shared" si="4"/>
        <v>10.67</v>
      </c>
      <c r="J11" s="1323">
        <v>29734</v>
      </c>
      <c r="K11" s="107">
        <f t="shared" si="12"/>
        <v>10.42</v>
      </c>
      <c r="L11" s="1325">
        <f t="shared" si="5"/>
        <v>62511</v>
      </c>
      <c r="M11" s="107">
        <f>ROUND(L11/L$26*100,2)-0.01</f>
        <v>10.540000000000001</v>
      </c>
      <c r="N11" s="1326">
        <f t="shared" si="6"/>
        <v>271400</v>
      </c>
      <c r="O11" s="107">
        <f t="shared" si="7"/>
        <v>10.32</v>
      </c>
      <c r="P11" s="1326">
        <f t="shared" si="8"/>
        <v>251570</v>
      </c>
      <c r="Q11" s="107">
        <f t="shared" si="9"/>
        <v>10.199999999999999</v>
      </c>
      <c r="R11" s="1325">
        <f t="shared" si="10"/>
        <v>522970</v>
      </c>
      <c r="S11" s="107">
        <f t="shared" si="11"/>
        <v>10.26</v>
      </c>
    </row>
    <row r="12" spans="1:20" ht="20.25" customHeight="1">
      <c r="A12" s="221" t="s">
        <v>1070</v>
      </c>
      <c r="B12" s="1323">
        <v>228036</v>
      </c>
      <c r="C12" s="107">
        <f t="shared" si="0"/>
        <v>9.82</v>
      </c>
      <c r="D12" s="1323">
        <v>218126</v>
      </c>
      <c r="E12" s="107">
        <f t="shared" si="1"/>
        <v>10</v>
      </c>
      <c r="F12" s="1325">
        <f t="shared" si="2"/>
        <v>446162</v>
      </c>
      <c r="G12" s="107">
        <f t="shared" si="3"/>
        <v>9.91</v>
      </c>
      <c r="H12" s="1323">
        <v>32626</v>
      </c>
      <c r="I12" s="107">
        <f t="shared" si="4"/>
        <v>10.62</v>
      </c>
      <c r="J12" s="1323">
        <v>29592</v>
      </c>
      <c r="K12" s="107">
        <f t="shared" si="12"/>
        <v>10.37</v>
      </c>
      <c r="L12" s="1325">
        <f t="shared" si="5"/>
        <v>62218</v>
      </c>
      <c r="M12" s="107">
        <f t="shared" si="13"/>
        <v>10.5</v>
      </c>
      <c r="N12" s="1326">
        <f t="shared" si="6"/>
        <v>260662</v>
      </c>
      <c r="O12" s="107">
        <f t="shared" si="7"/>
        <v>9.91</v>
      </c>
      <c r="P12" s="1326">
        <f t="shared" si="8"/>
        <v>247718</v>
      </c>
      <c r="Q12" s="107">
        <f t="shared" si="9"/>
        <v>10.050000000000001</v>
      </c>
      <c r="R12" s="1325">
        <f t="shared" si="10"/>
        <v>508380</v>
      </c>
      <c r="S12" s="107">
        <f t="shared" si="11"/>
        <v>9.98</v>
      </c>
    </row>
    <row r="13" spans="1:20" ht="20.25" customHeight="1">
      <c r="A13" s="221" t="s">
        <v>1071</v>
      </c>
      <c r="B13" s="1323">
        <v>209210</v>
      </c>
      <c r="C13" s="107">
        <f t="shared" si="0"/>
        <v>9.01</v>
      </c>
      <c r="D13" s="1323">
        <v>200716</v>
      </c>
      <c r="E13" s="107">
        <f t="shared" si="1"/>
        <v>9.1999999999999993</v>
      </c>
      <c r="F13" s="1325">
        <f t="shared" si="2"/>
        <v>409926</v>
      </c>
      <c r="G13" s="107">
        <f t="shared" si="3"/>
        <v>9.1</v>
      </c>
      <c r="H13" s="1323">
        <v>27857</v>
      </c>
      <c r="I13" s="107">
        <f t="shared" si="4"/>
        <v>9.07</v>
      </c>
      <c r="J13" s="1323">
        <v>27486</v>
      </c>
      <c r="K13" s="107">
        <f t="shared" si="12"/>
        <v>9.6300000000000008</v>
      </c>
      <c r="L13" s="1325">
        <f t="shared" si="5"/>
        <v>55343</v>
      </c>
      <c r="M13" s="107">
        <f t="shared" si="13"/>
        <v>9.34</v>
      </c>
      <c r="N13" s="1326">
        <f t="shared" si="6"/>
        <v>237067</v>
      </c>
      <c r="O13" s="107">
        <f t="shared" si="7"/>
        <v>9.01</v>
      </c>
      <c r="P13" s="1326">
        <f t="shared" si="8"/>
        <v>228202</v>
      </c>
      <c r="Q13" s="107">
        <f t="shared" si="9"/>
        <v>9.25</v>
      </c>
      <c r="R13" s="1325">
        <f t="shared" si="10"/>
        <v>465269</v>
      </c>
      <c r="S13" s="107">
        <f t="shared" si="11"/>
        <v>9.1300000000000008</v>
      </c>
    </row>
    <row r="14" spans="1:20" ht="20.25" customHeight="1">
      <c r="A14" s="221" t="s">
        <v>1072</v>
      </c>
      <c r="B14" s="1323">
        <v>175589</v>
      </c>
      <c r="C14" s="107">
        <f t="shared" si="0"/>
        <v>7.56</v>
      </c>
      <c r="D14" s="1323">
        <v>167056</v>
      </c>
      <c r="E14" s="107">
        <f t="shared" si="1"/>
        <v>7.66</v>
      </c>
      <c r="F14" s="1325">
        <f t="shared" si="2"/>
        <v>342645</v>
      </c>
      <c r="G14" s="107">
        <f>ROUND(F14/F$26*100,2)</f>
        <v>7.61</v>
      </c>
      <c r="H14" s="1323">
        <v>23921</v>
      </c>
      <c r="I14" s="107">
        <f>ROUND(H14/H$26*100,2)</f>
        <v>7.78</v>
      </c>
      <c r="J14" s="1323">
        <v>22949</v>
      </c>
      <c r="K14" s="107">
        <f t="shared" si="12"/>
        <v>8.0399999999999991</v>
      </c>
      <c r="L14" s="1325">
        <f t="shared" si="5"/>
        <v>46870</v>
      </c>
      <c r="M14" s="107">
        <f t="shared" si="13"/>
        <v>7.91</v>
      </c>
      <c r="N14" s="1326">
        <f t="shared" si="6"/>
        <v>199510</v>
      </c>
      <c r="O14" s="107">
        <f t="shared" si="7"/>
        <v>7.59</v>
      </c>
      <c r="P14" s="1326">
        <f t="shared" si="8"/>
        <v>190005</v>
      </c>
      <c r="Q14" s="107">
        <f>ROUND(P14/P$26*100,2)+0.01</f>
        <v>7.71</v>
      </c>
      <c r="R14" s="1325">
        <f t="shared" si="10"/>
        <v>389515</v>
      </c>
      <c r="S14" s="107">
        <f t="shared" si="11"/>
        <v>7.64</v>
      </c>
    </row>
    <row r="15" spans="1:20" ht="20.25" customHeight="1">
      <c r="A15" s="221" t="s">
        <v>1073</v>
      </c>
      <c r="B15" s="1323">
        <v>171971</v>
      </c>
      <c r="C15" s="107">
        <f t="shared" si="0"/>
        <v>7.4</v>
      </c>
      <c r="D15" s="1323">
        <v>168145</v>
      </c>
      <c r="E15" s="107">
        <f t="shared" si="1"/>
        <v>7.71</v>
      </c>
      <c r="F15" s="1325">
        <f t="shared" si="2"/>
        <v>340116</v>
      </c>
      <c r="G15" s="107">
        <f t="shared" ref="G15:G25" si="14">ROUND(F15/F$26*100,2)</f>
        <v>7.55</v>
      </c>
      <c r="H15" s="1323">
        <v>23759</v>
      </c>
      <c r="I15" s="107">
        <f t="shared" si="4"/>
        <v>7.73</v>
      </c>
      <c r="J15" s="1323">
        <v>23047</v>
      </c>
      <c r="K15" s="107">
        <f t="shared" si="12"/>
        <v>8.07</v>
      </c>
      <c r="L15" s="1325">
        <f t="shared" si="5"/>
        <v>46806</v>
      </c>
      <c r="M15" s="107">
        <f t="shared" si="13"/>
        <v>7.9</v>
      </c>
      <c r="N15" s="1326">
        <f t="shared" si="6"/>
        <v>195730</v>
      </c>
      <c r="O15" s="107">
        <f>ROUND(N15/N$26*100,2)</f>
        <v>7.44</v>
      </c>
      <c r="P15" s="1326">
        <f t="shared" si="8"/>
        <v>191192</v>
      </c>
      <c r="Q15" s="107">
        <f t="shared" si="9"/>
        <v>7.75</v>
      </c>
      <c r="R15" s="1325">
        <f t="shared" si="10"/>
        <v>386922</v>
      </c>
      <c r="S15" s="107">
        <f t="shared" si="11"/>
        <v>7.59</v>
      </c>
    </row>
    <row r="16" spans="1:20" ht="20.25" customHeight="1">
      <c r="A16" s="221" t="s">
        <v>1080</v>
      </c>
      <c r="B16" s="1323">
        <v>151161</v>
      </c>
      <c r="C16" s="107">
        <f t="shared" si="0"/>
        <v>6.51</v>
      </c>
      <c r="D16" s="1323">
        <v>134282</v>
      </c>
      <c r="E16" s="107">
        <f t="shared" si="1"/>
        <v>6.16</v>
      </c>
      <c r="F16" s="1325">
        <f t="shared" si="2"/>
        <v>285443</v>
      </c>
      <c r="G16" s="107">
        <f t="shared" si="14"/>
        <v>6.34</v>
      </c>
      <c r="H16" s="1323">
        <v>20586</v>
      </c>
      <c r="I16" s="107">
        <f t="shared" si="4"/>
        <v>6.7</v>
      </c>
      <c r="J16" s="1323">
        <v>18471</v>
      </c>
      <c r="K16" s="107">
        <f t="shared" si="12"/>
        <v>6.47</v>
      </c>
      <c r="L16" s="1325">
        <f t="shared" si="5"/>
        <v>39057</v>
      </c>
      <c r="M16" s="107">
        <f t="shared" si="13"/>
        <v>6.59</v>
      </c>
      <c r="N16" s="1326">
        <f t="shared" si="6"/>
        <v>171747</v>
      </c>
      <c r="O16" s="107">
        <f t="shared" ref="O16:O25" si="15">ROUND(N16/N$26*100,2)</f>
        <v>6.53</v>
      </c>
      <c r="P16" s="1326">
        <f t="shared" si="8"/>
        <v>152753</v>
      </c>
      <c r="Q16" s="107">
        <f t="shared" si="9"/>
        <v>6.19</v>
      </c>
      <c r="R16" s="1325">
        <f t="shared" si="10"/>
        <v>324500</v>
      </c>
      <c r="S16" s="107">
        <f>ROUND(R16/R$26*100,2)</f>
        <v>6.37</v>
      </c>
    </row>
    <row r="17" spans="1:19" ht="20.25" customHeight="1">
      <c r="A17" s="221" t="s">
        <v>1081</v>
      </c>
      <c r="B17" s="1323">
        <v>130611</v>
      </c>
      <c r="C17" s="107">
        <f t="shared" si="0"/>
        <v>5.62</v>
      </c>
      <c r="D17" s="1323">
        <v>117804</v>
      </c>
      <c r="E17" s="107">
        <f t="shared" si="1"/>
        <v>5.4</v>
      </c>
      <c r="F17" s="1325">
        <f t="shared" si="2"/>
        <v>248415</v>
      </c>
      <c r="G17" s="107">
        <f t="shared" si="14"/>
        <v>5.52</v>
      </c>
      <c r="H17" s="1323">
        <v>18289</v>
      </c>
      <c r="I17" s="107">
        <f t="shared" si="4"/>
        <v>5.95</v>
      </c>
      <c r="J17" s="1323">
        <v>16601</v>
      </c>
      <c r="K17" s="107">
        <f t="shared" si="12"/>
        <v>5.82</v>
      </c>
      <c r="L17" s="1325">
        <f t="shared" si="5"/>
        <v>34890</v>
      </c>
      <c r="M17" s="107">
        <f>ROUND(L17/L$26*100,2)-0.01</f>
        <v>5.88</v>
      </c>
      <c r="N17" s="1326">
        <f t="shared" si="6"/>
        <v>148900</v>
      </c>
      <c r="O17" s="107">
        <f t="shared" si="15"/>
        <v>5.66</v>
      </c>
      <c r="P17" s="1326">
        <f t="shared" si="8"/>
        <v>134405</v>
      </c>
      <c r="Q17" s="107">
        <f t="shared" si="9"/>
        <v>5.45</v>
      </c>
      <c r="R17" s="1325">
        <f t="shared" si="10"/>
        <v>283305</v>
      </c>
      <c r="S17" s="107">
        <f t="shared" ref="S17:S25" si="16">ROUND(R17/R$26*100,2)</f>
        <v>5.56</v>
      </c>
    </row>
    <row r="18" spans="1:19" ht="20.25" customHeight="1">
      <c r="A18" s="221" t="s">
        <v>1082</v>
      </c>
      <c r="B18" s="1323">
        <v>105674</v>
      </c>
      <c r="C18" s="107">
        <f t="shared" si="0"/>
        <v>4.55</v>
      </c>
      <c r="D18" s="1323">
        <v>88089</v>
      </c>
      <c r="E18" s="107">
        <f t="shared" si="1"/>
        <v>4.04</v>
      </c>
      <c r="F18" s="1325">
        <f t="shared" si="2"/>
        <v>193763</v>
      </c>
      <c r="G18" s="107">
        <f t="shared" si="14"/>
        <v>4.3</v>
      </c>
      <c r="H18" s="1323">
        <v>14862</v>
      </c>
      <c r="I18" s="107">
        <f t="shared" si="4"/>
        <v>4.84</v>
      </c>
      <c r="J18" s="1323">
        <v>12222</v>
      </c>
      <c r="K18" s="107">
        <f t="shared" si="12"/>
        <v>4.28</v>
      </c>
      <c r="L18" s="1325">
        <f t="shared" si="5"/>
        <v>27084</v>
      </c>
      <c r="M18" s="107">
        <f t="shared" si="13"/>
        <v>4.57</v>
      </c>
      <c r="N18" s="1326">
        <f t="shared" si="6"/>
        <v>120536</v>
      </c>
      <c r="O18" s="107">
        <f t="shared" si="15"/>
        <v>4.58</v>
      </c>
      <c r="P18" s="1326">
        <f t="shared" si="8"/>
        <v>100311</v>
      </c>
      <c r="Q18" s="107">
        <f t="shared" si="9"/>
        <v>4.07</v>
      </c>
      <c r="R18" s="1325">
        <f t="shared" si="10"/>
        <v>220847</v>
      </c>
      <c r="S18" s="107">
        <f>ROUND(R18/R$26*100,2)+0.01</f>
        <v>4.34</v>
      </c>
    </row>
    <row r="19" spans="1:19" ht="20.25" customHeight="1">
      <c r="A19" s="221" t="s">
        <v>1083</v>
      </c>
      <c r="B19" s="1323">
        <v>84521</v>
      </c>
      <c r="C19" s="107">
        <f t="shared" si="0"/>
        <v>3.64</v>
      </c>
      <c r="D19" s="1323">
        <v>73199</v>
      </c>
      <c r="E19" s="107">
        <f t="shared" si="1"/>
        <v>3.36</v>
      </c>
      <c r="F19" s="1325">
        <f t="shared" si="2"/>
        <v>157720</v>
      </c>
      <c r="G19" s="107">
        <f t="shared" si="14"/>
        <v>3.5</v>
      </c>
      <c r="H19" s="1323">
        <v>11852</v>
      </c>
      <c r="I19" s="107">
        <f t="shared" si="4"/>
        <v>3.86</v>
      </c>
      <c r="J19" s="1323">
        <v>9586</v>
      </c>
      <c r="K19" s="107">
        <f t="shared" si="12"/>
        <v>3.36</v>
      </c>
      <c r="L19" s="1325">
        <f t="shared" si="5"/>
        <v>21438</v>
      </c>
      <c r="M19" s="107">
        <f t="shared" si="13"/>
        <v>3.62</v>
      </c>
      <c r="N19" s="1326">
        <f t="shared" si="6"/>
        <v>96373</v>
      </c>
      <c r="O19" s="107">
        <f>ROUND(N19/N$26*100,2)+0.01</f>
        <v>3.67</v>
      </c>
      <c r="P19" s="1326">
        <f t="shared" si="8"/>
        <v>82785</v>
      </c>
      <c r="Q19" s="107">
        <f t="shared" si="9"/>
        <v>3.36</v>
      </c>
      <c r="R19" s="1325">
        <f t="shared" si="10"/>
        <v>179158</v>
      </c>
      <c r="S19" s="107">
        <f t="shared" si="16"/>
        <v>3.52</v>
      </c>
    </row>
    <row r="20" spans="1:19" ht="20.25" customHeight="1">
      <c r="A20" s="221" t="s">
        <v>1084</v>
      </c>
      <c r="B20" s="1323">
        <v>65307</v>
      </c>
      <c r="C20" s="107">
        <f t="shared" si="0"/>
        <v>2.81</v>
      </c>
      <c r="D20" s="1323">
        <v>61376</v>
      </c>
      <c r="E20" s="107">
        <f t="shared" si="1"/>
        <v>2.81</v>
      </c>
      <c r="F20" s="1325">
        <f t="shared" si="2"/>
        <v>126683</v>
      </c>
      <c r="G20" s="107">
        <f t="shared" si="14"/>
        <v>2.81</v>
      </c>
      <c r="H20" s="1323">
        <v>8430</v>
      </c>
      <c r="I20" s="107">
        <f t="shared" si="4"/>
        <v>2.74</v>
      </c>
      <c r="J20" s="1323">
        <v>7451</v>
      </c>
      <c r="K20" s="107">
        <f t="shared" si="12"/>
        <v>2.61</v>
      </c>
      <c r="L20" s="1325">
        <f t="shared" si="5"/>
        <v>15881</v>
      </c>
      <c r="M20" s="107">
        <f t="shared" si="13"/>
        <v>2.68</v>
      </c>
      <c r="N20" s="1326">
        <f t="shared" si="6"/>
        <v>73737</v>
      </c>
      <c r="O20" s="107">
        <f t="shared" si="15"/>
        <v>2.8</v>
      </c>
      <c r="P20" s="1326">
        <f t="shared" si="8"/>
        <v>68827</v>
      </c>
      <c r="Q20" s="107">
        <f t="shared" si="9"/>
        <v>2.79</v>
      </c>
      <c r="R20" s="1325">
        <f t="shared" si="10"/>
        <v>142564</v>
      </c>
      <c r="S20" s="107">
        <f t="shared" si="16"/>
        <v>2.8</v>
      </c>
    </row>
    <row r="21" spans="1:19" ht="20.25" customHeight="1">
      <c r="A21" s="221" t="s">
        <v>1085</v>
      </c>
      <c r="B21" s="1323">
        <v>52222</v>
      </c>
      <c r="C21" s="107">
        <f t="shared" si="0"/>
        <v>2.25</v>
      </c>
      <c r="D21" s="1323">
        <v>52475</v>
      </c>
      <c r="E21" s="107">
        <f t="shared" si="1"/>
        <v>2.41</v>
      </c>
      <c r="F21" s="1325">
        <f t="shared" si="2"/>
        <v>104697</v>
      </c>
      <c r="G21" s="107">
        <f>ROUND(F21/F$26*100,2)+0.01</f>
        <v>2.3299999999999996</v>
      </c>
      <c r="H21" s="1323">
        <v>6296</v>
      </c>
      <c r="I21" s="107">
        <f t="shared" si="4"/>
        <v>2.0499999999999998</v>
      </c>
      <c r="J21" s="1323">
        <v>5833</v>
      </c>
      <c r="K21" s="107">
        <f t="shared" si="12"/>
        <v>2.04</v>
      </c>
      <c r="L21" s="1325">
        <f t="shared" si="5"/>
        <v>12129</v>
      </c>
      <c r="M21" s="107">
        <f>ROUND(L21/L$26*100,2)-0.01</f>
        <v>2.04</v>
      </c>
      <c r="N21" s="1326">
        <f t="shared" si="6"/>
        <v>58518</v>
      </c>
      <c r="O21" s="107">
        <f t="shared" si="15"/>
        <v>2.23</v>
      </c>
      <c r="P21" s="1326">
        <f t="shared" si="8"/>
        <v>58308</v>
      </c>
      <c r="Q21" s="107">
        <f t="shared" si="9"/>
        <v>2.36</v>
      </c>
      <c r="R21" s="1325">
        <f t="shared" si="10"/>
        <v>116826</v>
      </c>
      <c r="S21" s="107">
        <f t="shared" si="16"/>
        <v>2.29</v>
      </c>
    </row>
    <row r="22" spans="1:19" ht="20.25" customHeight="1">
      <c r="A22" s="221" t="s">
        <v>1087</v>
      </c>
      <c r="B22" s="1323">
        <v>36793</v>
      </c>
      <c r="C22" s="107">
        <f t="shared" si="0"/>
        <v>1.58</v>
      </c>
      <c r="D22" s="1323">
        <v>35222</v>
      </c>
      <c r="E22" s="107">
        <f>ROUND(D22/D$26*100,2)+0.01</f>
        <v>1.6300000000000001</v>
      </c>
      <c r="F22" s="1325">
        <f t="shared" si="2"/>
        <v>72015</v>
      </c>
      <c r="G22" s="107">
        <f t="shared" si="14"/>
        <v>1.6</v>
      </c>
      <c r="H22" s="1323">
        <v>4164</v>
      </c>
      <c r="I22" s="107">
        <f>ROUND(H22/H$26*100,2)-0.01</f>
        <v>1.35</v>
      </c>
      <c r="J22" s="1323">
        <v>3928</v>
      </c>
      <c r="K22" s="107">
        <f t="shared" si="12"/>
        <v>1.38</v>
      </c>
      <c r="L22" s="1325">
        <f t="shared" si="5"/>
        <v>8092</v>
      </c>
      <c r="M22" s="107">
        <f>ROUND(L22/L$26*100,2)-0.01</f>
        <v>1.36</v>
      </c>
      <c r="N22" s="1326">
        <f t="shared" si="6"/>
        <v>40957</v>
      </c>
      <c r="O22" s="107">
        <f t="shared" si="15"/>
        <v>1.56</v>
      </c>
      <c r="P22" s="1326">
        <f t="shared" si="8"/>
        <v>39150</v>
      </c>
      <c r="Q22" s="107">
        <f t="shared" si="9"/>
        <v>1.59</v>
      </c>
      <c r="R22" s="1325">
        <f t="shared" si="10"/>
        <v>80107</v>
      </c>
      <c r="S22" s="107">
        <f t="shared" si="16"/>
        <v>1.57</v>
      </c>
    </row>
    <row r="23" spans="1:19" ht="20.25" customHeight="1">
      <c r="A23" s="221" t="s">
        <v>1088</v>
      </c>
      <c r="B23" s="1323">
        <v>21925</v>
      </c>
      <c r="C23" s="107">
        <f t="shared" si="0"/>
        <v>0.94</v>
      </c>
      <c r="D23" s="1323">
        <v>20797</v>
      </c>
      <c r="E23" s="107">
        <f t="shared" si="1"/>
        <v>0.95</v>
      </c>
      <c r="F23" s="1325">
        <f t="shared" si="2"/>
        <v>42722</v>
      </c>
      <c r="G23" s="107">
        <f t="shared" si="14"/>
        <v>0.95</v>
      </c>
      <c r="H23" s="1323">
        <v>2357</v>
      </c>
      <c r="I23" s="107">
        <f t="shared" si="4"/>
        <v>0.77</v>
      </c>
      <c r="J23" s="1323">
        <v>2401</v>
      </c>
      <c r="K23" s="107">
        <f t="shared" si="12"/>
        <v>0.84</v>
      </c>
      <c r="L23" s="1325">
        <f t="shared" si="5"/>
        <v>4758</v>
      </c>
      <c r="M23" s="107">
        <f t="shared" si="13"/>
        <v>0.8</v>
      </c>
      <c r="N23" s="1326">
        <f t="shared" si="6"/>
        <v>24282</v>
      </c>
      <c r="O23" s="107">
        <f t="shared" si="15"/>
        <v>0.92</v>
      </c>
      <c r="P23" s="1326">
        <f t="shared" si="8"/>
        <v>23198</v>
      </c>
      <c r="Q23" s="107">
        <f t="shared" si="9"/>
        <v>0.94</v>
      </c>
      <c r="R23" s="1325">
        <f t="shared" si="10"/>
        <v>47480</v>
      </c>
      <c r="S23" s="107">
        <f t="shared" si="16"/>
        <v>0.93</v>
      </c>
    </row>
    <row r="24" spans="1:19" ht="20.25" customHeight="1">
      <c r="A24" s="221" t="s">
        <v>1089</v>
      </c>
      <c r="B24" s="1323">
        <v>24741</v>
      </c>
      <c r="C24" s="107">
        <f>ROUND(B24/B$26*100,2)+0.01</f>
        <v>1.08</v>
      </c>
      <c r="D24" s="1323">
        <v>24739</v>
      </c>
      <c r="E24" s="107">
        <f t="shared" si="1"/>
        <v>1.1299999999999999</v>
      </c>
      <c r="F24" s="1325">
        <f t="shared" si="2"/>
        <v>49480</v>
      </c>
      <c r="G24" s="107">
        <f t="shared" si="14"/>
        <v>1.1000000000000001</v>
      </c>
      <c r="H24" s="1323">
        <v>2614</v>
      </c>
      <c r="I24" s="107">
        <f t="shared" si="4"/>
        <v>0.85</v>
      </c>
      <c r="J24" s="1323">
        <v>2949</v>
      </c>
      <c r="K24" s="107">
        <f t="shared" si="12"/>
        <v>1.03</v>
      </c>
      <c r="L24" s="1325">
        <f t="shared" si="5"/>
        <v>5563</v>
      </c>
      <c r="M24" s="107">
        <f t="shared" si="13"/>
        <v>0.94</v>
      </c>
      <c r="N24" s="1326">
        <f t="shared" si="6"/>
        <v>27355</v>
      </c>
      <c r="O24" s="107">
        <f t="shared" si="15"/>
        <v>1.04</v>
      </c>
      <c r="P24" s="1326">
        <f t="shared" si="8"/>
        <v>27688</v>
      </c>
      <c r="Q24" s="107">
        <f t="shared" si="9"/>
        <v>1.1200000000000001</v>
      </c>
      <c r="R24" s="1325">
        <f t="shared" si="10"/>
        <v>55043</v>
      </c>
      <c r="S24" s="107">
        <f t="shared" si="16"/>
        <v>1.08</v>
      </c>
    </row>
    <row r="25" spans="1:19" ht="27" customHeight="1">
      <c r="A25" s="1327" t="s">
        <v>644</v>
      </c>
      <c r="B25" s="1323">
        <v>1358</v>
      </c>
      <c r="C25" s="107">
        <f t="shared" si="0"/>
        <v>0.06</v>
      </c>
      <c r="D25" s="1323">
        <v>1048</v>
      </c>
      <c r="E25" s="107">
        <f t="shared" si="1"/>
        <v>0.05</v>
      </c>
      <c r="F25" s="1325">
        <f t="shared" si="2"/>
        <v>2406</v>
      </c>
      <c r="G25" s="107">
        <f t="shared" si="14"/>
        <v>0.05</v>
      </c>
      <c r="H25" s="1323">
        <v>398</v>
      </c>
      <c r="I25" s="107">
        <f t="shared" si="4"/>
        <v>0.13</v>
      </c>
      <c r="J25" s="1323">
        <v>126</v>
      </c>
      <c r="K25" s="107">
        <f t="shared" si="12"/>
        <v>0.04</v>
      </c>
      <c r="L25" s="1325">
        <f t="shared" si="5"/>
        <v>524</v>
      </c>
      <c r="M25" s="107">
        <f t="shared" si="13"/>
        <v>0.09</v>
      </c>
      <c r="N25" s="1326">
        <f t="shared" si="6"/>
        <v>1756</v>
      </c>
      <c r="O25" s="107">
        <f t="shared" si="15"/>
        <v>7.0000000000000007E-2</v>
      </c>
      <c r="P25" s="1326">
        <f t="shared" si="8"/>
        <v>1174</v>
      </c>
      <c r="Q25" s="107">
        <f t="shared" si="9"/>
        <v>0.05</v>
      </c>
      <c r="R25" s="1325">
        <f t="shared" si="10"/>
        <v>2930</v>
      </c>
      <c r="S25" s="107">
        <f t="shared" si="16"/>
        <v>0.06</v>
      </c>
    </row>
    <row r="26" spans="1:19" ht="18.75" customHeight="1">
      <c r="A26" s="210" t="s">
        <v>1086</v>
      </c>
      <c r="B26" s="1324">
        <f t="shared" ref="B26:S26" si="17">SUM(B8:B25)</f>
        <v>2322562</v>
      </c>
      <c r="C26" s="211">
        <f t="shared" si="17"/>
        <v>100.00000000000001</v>
      </c>
      <c r="D26" s="1324">
        <f t="shared" si="17"/>
        <v>2180599</v>
      </c>
      <c r="E26" s="211">
        <f t="shared" si="17"/>
        <v>99.999999999999986</v>
      </c>
      <c r="F26" s="1324">
        <f t="shared" si="17"/>
        <v>4503161</v>
      </c>
      <c r="G26" s="211">
        <f t="shared" si="17"/>
        <v>99.999999999999986</v>
      </c>
      <c r="H26" s="1324">
        <f t="shared" si="17"/>
        <v>307272</v>
      </c>
      <c r="I26" s="211">
        <f t="shared" si="17"/>
        <v>99.999999999999986</v>
      </c>
      <c r="J26" s="1324">
        <f t="shared" si="17"/>
        <v>285442</v>
      </c>
      <c r="K26" s="211">
        <f t="shared" si="17"/>
        <v>100</v>
      </c>
      <c r="L26" s="1324">
        <f t="shared" si="17"/>
        <v>592714</v>
      </c>
      <c r="M26" s="211">
        <f t="shared" si="17"/>
        <v>100.00000000000001</v>
      </c>
      <c r="N26" s="1324">
        <f t="shared" si="17"/>
        <v>2629834</v>
      </c>
      <c r="O26" s="211">
        <f t="shared" si="17"/>
        <v>100</v>
      </c>
      <c r="P26" s="1324">
        <f t="shared" si="17"/>
        <v>2466041</v>
      </c>
      <c r="Q26" s="211">
        <f t="shared" si="17"/>
        <v>100</v>
      </c>
      <c r="R26" s="1324">
        <f t="shared" si="17"/>
        <v>5095875</v>
      </c>
      <c r="S26" s="211">
        <f t="shared" si="17"/>
        <v>100.00000000000001</v>
      </c>
    </row>
    <row r="27" spans="1:19">
      <c r="A27" s="1473"/>
      <c r="N27" s="1297"/>
      <c r="O27" s="1297"/>
      <c r="P27" s="1297"/>
      <c r="Q27" s="1297"/>
      <c r="R27" s="1297"/>
      <c r="S27" s="1474" t="s">
        <v>640</v>
      </c>
    </row>
    <row r="28" spans="1:19">
      <c r="A28" s="1473"/>
    </row>
  </sheetData>
  <mergeCells count="15">
    <mergeCell ref="A1:S1"/>
    <mergeCell ref="A2:S2"/>
    <mergeCell ref="N5:O5"/>
    <mergeCell ref="P5:Q5"/>
    <mergeCell ref="R5:S5"/>
    <mergeCell ref="L5:M5"/>
    <mergeCell ref="A4:A6"/>
    <mergeCell ref="B4:G4"/>
    <mergeCell ref="H4:M4"/>
    <mergeCell ref="N4:S4"/>
    <mergeCell ref="J5:K5"/>
    <mergeCell ref="B5:C5"/>
    <mergeCell ref="D5:E5"/>
    <mergeCell ref="F5:G5"/>
    <mergeCell ref="H5:I5"/>
  </mergeCells>
  <phoneticPr fontId="0" type="noConversion"/>
  <printOptions horizontalCentered="1"/>
  <pageMargins left="0.1" right="0.1" top="0.51" bottom="0.1" header="0.5" footer="0.1"/>
  <pageSetup paperSize="9" scale="99" orientation="landscape" blackAndWhite="1" r:id="rId1"/>
  <headerFooter alignWithMargins="0"/>
</worksheet>
</file>

<file path=xl/worksheets/sheet16.xml><?xml version="1.0" encoding="utf-8"?>
<worksheet xmlns="http://schemas.openxmlformats.org/spreadsheetml/2006/main" xmlns:r="http://schemas.openxmlformats.org/officeDocument/2006/relationships">
  <sheetPr codeName="Sheet20"/>
  <dimension ref="A1:L75"/>
  <sheetViews>
    <sheetView workbookViewId="0">
      <selection activeCell="C3" sqref="C3"/>
    </sheetView>
  </sheetViews>
  <sheetFormatPr defaultRowHeight="15.75" customHeight="1"/>
  <cols>
    <col min="1" max="1" width="24.42578125" customWidth="1"/>
    <col min="2" max="2" width="15.140625" customWidth="1"/>
    <col min="3" max="7" width="15.85546875" customWidth="1"/>
  </cols>
  <sheetData>
    <row r="1" spans="1:12" ht="12.75" customHeight="1">
      <c r="A1" s="1825" t="s">
        <v>803</v>
      </c>
      <c r="B1" s="1825"/>
      <c r="C1" s="1825"/>
      <c r="D1" s="1825"/>
      <c r="E1" s="1825"/>
      <c r="F1" s="1825"/>
      <c r="G1" s="1825"/>
    </row>
    <row r="2" spans="1:12" ht="15.75" customHeight="1">
      <c r="A2" s="1857" t="str">
        <f>CONCATENATE("Distribution of Population by sex in different towns in the district of ",District!$A$1,", 2011")</f>
        <v>Distribution of Population by sex in different towns in the district of Purba Medinipur, 2011</v>
      </c>
      <c r="B2" s="1857"/>
      <c r="C2" s="1857"/>
      <c r="D2" s="1857"/>
      <c r="E2" s="1857"/>
      <c r="F2" s="1857"/>
      <c r="G2" s="1857"/>
    </row>
    <row r="3" spans="1:12" ht="12.75" customHeight="1">
      <c r="A3" s="476"/>
      <c r="B3" s="476"/>
      <c r="C3" s="476"/>
      <c r="D3" s="476"/>
      <c r="E3" s="1910" t="s">
        <v>244</v>
      </c>
      <c r="F3" s="1910"/>
      <c r="G3" s="1910"/>
    </row>
    <row r="4" spans="1:12" ht="24" customHeight="1">
      <c r="A4" s="1831" t="s">
        <v>1227</v>
      </c>
      <c r="B4" s="1906" t="s">
        <v>1208</v>
      </c>
      <c r="C4" s="1829" t="s">
        <v>910</v>
      </c>
      <c r="D4" s="1827"/>
      <c r="E4" s="1828"/>
      <c r="F4" s="1869" t="s">
        <v>1023</v>
      </c>
      <c r="G4" s="1905"/>
      <c r="H4" s="7"/>
      <c r="L4" s="410"/>
    </row>
    <row r="5" spans="1:12" ht="15.75" customHeight="1">
      <c r="A5" s="1832"/>
      <c r="B5" s="1907"/>
      <c r="C5" s="156" t="s">
        <v>1040</v>
      </c>
      <c r="D5" s="156" t="s">
        <v>1041</v>
      </c>
      <c r="E5" s="163" t="s">
        <v>979</v>
      </c>
      <c r="F5" s="156" t="s">
        <v>1090</v>
      </c>
      <c r="G5" s="198" t="s">
        <v>1041</v>
      </c>
    </row>
    <row r="6" spans="1:12" ht="12" customHeight="1">
      <c r="A6" s="517" t="s">
        <v>955</v>
      </c>
      <c r="B6" s="134" t="s">
        <v>956</v>
      </c>
      <c r="C6" s="518" t="s">
        <v>957</v>
      </c>
      <c r="D6" s="518" t="s">
        <v>958</v>
      </c>
      <c r="E6" s="136" t="s">
        <v>959</v>
      </c>
      <c r="F6" s="135" t="s">
        <v>961</v>
      </c>
      <c r="G6" s="136" t="s">
        <v>962</v>
      </c>
    </row>
    <row r="7" spans="1:12" ht="15.75" customHeight="1">
      <c r="A7" s="526" t="s">
        <v>1273</v>
      </c>
      <c r="B7" s="892" t="s">
        <v>670</v>
      </c>
      <c r="C7" s="520">
        <f>SUM(C8:C20)</f>
        <v>111528</v>
      </c>
      <c r="D7" s="520">
        <f>SUM(D8:D20)</f>
        <v>106135</v>
      </c>
      <c r="E7" s="253">
        <f>SUM(C7,D7)</f>
        <v>217663</v>
      </c>
      <c r="F7" s="521">
        <f t="shared" ref="F7:F36" si="0">ROUND(C7/E7*100,2)</f>
        <v>51.24</v>
      </c>
      <c r="G7" s="380">
        <f t="shared" ref="G7:G36" si="1">ROUND(D7/E7*100,2)</f>
        <v>48.76</v>
      </c>
      <c r="H7" s="20"/>
    </row>
    <row r="8" spans="1:12" ht="12.75" customHeight="1">
      <c r="A8" s="508" t="s">
        <v>669</v>
      </c>
      <c r="B8" s="522" t="s">
        <v>837</v>
      </c>
      <c r="C8" s="104">
        <v>2705</v>
      </c>
      <c r="D8" s="104">
        <v>2475</v>
      </c>
      <c r="E8" s="102">
        <f>SUM(C8,D8)</f>
        <v>5180</v>
      </c>
      <c r="F8" s="106">
        <f t="shared" si="0"/>
        <v>52.22</v>
      </c>
      <c r="G8" s="107">
        <f t="shared" si="1"/>
        <v>47.78</v>
      </c>
      <c r="H8" s="20"/>
    </row>
    <row r="9" spans="1:12" ht="12.75" customHeight="1">
      <c r="A9" s="287" t="s">
        <v>838</v>
      </c>
      <c r="B9" s="438" t="s">
        <v>837</v>
      </c>
      <c r="C9" s="104">
        <v>2813</v>
      </c>
      <c r="D9" s="104">
        <v>2664</v>
      </c>
      <c r="E9" s="102">
        <f t="shared" ref="E9:E35" si="2">SUM(C9,D9)</f>
        <v>5477</v>
      </c>
      <c r="F9" s="106">
        <f t="shared" si="0"/>
        <v>51.36</v>
      </c>
      <c r="G9" s="107">
        <f t="shared" si="1"/>
        <v>48.64</v>
      </c>
      <c r="H9" s="20"/>
    </row>
    <row r="10" spans="1:12" ht="15.75" customHeight="1">
      <c r="A10" s="508" t="s">
        <v>1385</v>
      </c>
      <c r="B10" s="522" t="s">
        <v>837</v>
      </c>
      <c r="C10" s="104">
        <v>12890</v>
      </c>
      <c r="D10" s="104">
        <v>12301</v>
      </c>
      <c r="E10" s="102">
        <f t="shared" si="2"/>
        <v>25191</v>
      </c>
      <c r="F10" s="106">
        <f t="shared" si="0"/>
        <v>51.17</v>
      </c>
      <c r="G10" s="107">
        <f t="shared" si="1"/>
        <v>48.83</v>
      </c>
      <c r="H10" s="20"/>
    </row>
    <row r="11" spans="1:12" ht="13.5" customHeight="1">
      <c r="A11" s="508" t="s">
        <v>839</v>
      </c>
      <c r="B11" s="522" t="s">
        <v>837</v>
      </c>
      <c r="C11" s="104">
        <v>3438</v>
      </c>
      <c r="D11" s="104">
        <v>3159</v>
      </c>
      <c r="E11" s="102">
        <f t="shared" si="2"/>
        <v>6597</v>
      </c>
      <c r="F11" s="106">
        <f t="shared" si="0"/>
        <v>52.11</v>
      </c>
      <c r="G11" s="107">
        <f t="shared" si="1"/>
        <v>47.89</v>
      </c>
      <c r="H11" s="20"/>
    </row>
    <row r="12" spans="1:12" ht="14.25" customHeight="1">
      <c r="A12" s="508" t="s">
        <v>641</v>
      </c>
      <c r="B12" s="522" t="s">
        <v>837</v>
      </c>
      <c r="C12" s="104">
        <v>7444</v>
      </c>
      <c r="D12" s="104">
        <v>6817</v>
      </c>
      <c r="E12" s="102">
        <f t="shared" si="2"/>
        <v>14261</v>
      </c>
      <c r="F12" s="106">
        <f t="shared" si="0"/>
        <v>52.2</v>
      </c>
      <c r="G12" s="107">
        <f t="shared" si="1"/>
        <v>47.8</v>
      </c>
      <c r="H12" s="20"/>
    </row>
    <row r="13" spans="1:12" ht="12.75" customHeight="1">
      <c r="A13" s="508" t="s">
        <v>642</v>
      </c>
      <c r="B13" s="522" t="s">
        <v>837</v>
      </c>
      <c r="C13" s="104">
        <v>3541</v>
      </c>
      <c r="D13" s="104">
        <v>3365</v>
      </c>
      <c r="E13" s="102">
        <f t="shared" si="2"/>
        <v>6906</v>
      </c>
      <c r="F13" s="106">
        <f t="shared" si="0"/>
        <v>51.27</v>
      </c>
      <c r="G13" s="107">
        <f t="shared" si="1"/>
        <v>48.73</v>
      </c>
      <c r="H13" s="20"/>
    </row>
    <row r="14" spans="1:12" ht="13.5" customHeight="1">
      <c r="A14" s="508" t="s">
        <v>656</v>
      </c>
      <c r="B14" s="522" t="s">
        <v>837</v>
      </c>
      <c r="C14" s="104">
        <v>2088</v>
      </c>
      <c r="D14" s="104">
        <v>2032</v>
      </c>
      <c r="E14" s="102">
        <f t="shared" si="2"/>
        <v>4120</v>
      </c>
      <c r="F14" s="106">
        <f t="shared" si="0"/>
        <v>50.68</v>
      </c>
      <c r="G14" s="107">
        <f t="shared" si="1"/>
        <v>49.32</v>
      </c>
      <c r="H14" s="20"/>
    </row>
    <row r="15" spans="1:12" ht="12.75" customHeight="1">
      <c r="A15" s="508" t="s">
        <v>657</v>
      </c>
      <c r="B15" s="522" t="s">
        <v>837</v>
      </c>
      <c r="C15" s="104">
        <v>2849</v>
      </c>
      <c r="D15" s="104">
        <v>2683</v>
      </c>
      <c r="E15" s="102">
        <f t="shared" si="2"/>
        <v>5532</v>
      </c>
      <c r="F15" s="106">
        <f t="shared" si="0"/>
        <v>51.5</v>
      </c>
      <c r="G15" s="107">
        <f t="shared" si="1"/>
        <v>48.5</v>
      </c>
      <c r="H15" s="20"/>
    </row>
    <row r="16" spans="1:12" ht="14.25" customHeight="1">
      <c r="A16" s="508" t="s">
        <v>664</v>
      </c>
      <c r="B16" s="522" t="s">
        <v>837</v>
      </c>
      <c r="C16" s="104">
        <v>2641</v>
      </c>
      <c r="D16" s="104">
        <v>2691</v>
      </c>
      <c r="E16" s="102">
        <f t="shared" si="2"/>
        <v>5332</v>
      </c>
      <c r="F16" s="106">
        <f t="shared" si="0"/>
        <v>49.53</v>
      </c>
      <c r="G16" s="107">
        <f t="shared" si="1"/>
        <v>50.47</v>
      </c>
      <c r="H16" s="20"/>
    </row>
    <row r="17" spans="1:8" ht="12.75" customHeight="1">
      <c r="A17" s="508" t="s">
        <v>663</v>
      </c>
      <c r="B17" s="522" t="s">
        <v>837</v>
      </c>
      <c r="C17" s="104">
        <v>3140</v>
      </c>
      <c r="D17" s="104">
        <v>2943</v>
      </c>
      <c r="E17" s="102">
        <f t="shared" si="2"/>
        <v>6083</v>
      </c>
      <c r="F17" s="106">
        <f t="shared" si="0"/>
        <v>51.62</v>
      </c>
      <c r="G17" s="107">
        <f t="shared" si="1"/>
        <v>48.38</v>
      </c>
      <c r="H17" s="20"/>
    </row>
    <row r="18" spans="1:8" ht="14.25" customHeight="1">
      <c r="A18" s="508" t="s">
        <v>658</v>
      </c>
      <c r="B18" s="522" t="s">
        <v>837</v>
      </c>
      <c r="C18" s="104">
        <v>4979</v>
      </c>
      <c r="D18" s="104">
        <v>4767</v>
      </c>
      <c r="E18" s="102">
        <f t="shared" si="2"/>
        <v>9746</v>
      </c>
      <c r="F18" s="106">
        <f t="shared" si="0"/>
        <v>51.09</v>
      </c>
      <c r="G18" s="107">
        <f t="shared" si="1"/>
        <v>48.91</v>
      </c>
      <c r="H18" s="20"/>
    </row>
    <row r="19" spans="1:8" ht="13.5" customHeight="1">
      <c r="A19" s="508" t="s">
        <v>1387</v>
      </c>
      <c r="B19" s="522" t="s">
        <v>889</v>
      </c>
      <c r="C19" s="104">
        <v>29740</v>
      </c>
      <c r="D19" s="104">
        <v>28192</v>
      </c>
      <c r="E19" s="102">
        <f t="shared" si="2"/>
        <v>57932</v>
      </c>
      <c r="F19" s="106">
        <f t="shared" si="0"/>
        <v>51.34</v>
      </c>
      <c r="G19" s="107">
        <f t="shared" si="1"/>
        <v>48.66</v>
      </c>
      <c r="H19" s="20"/>
    </row>
    <row r="20" spans="1:8" ht="13.5" customHeight="1">
      <c r="A20" s="508" t="s">
        <v>200</v>
      </c>
      <c r="B20" s="1320" t="s">
        <v>889</v>
      </c>
      <c r="C20" s="125">
        <v>33260</v>
      </c>
      <c r="D20" s="104">
        <v>32046</v>
      </c>
      <c r="E20" s="102">
        <f t="shared" si="2"/>
        <v>65306</v>
      </c>
      <c r="F20" s="106">
        <f t="shared" si="0"/>
        <v>50.93</v>
      </c>
      <c r="G20" s="107">
        <f t="shared" si="1"/>
        <v>49.07</v>
      </c>
      <c r="H20" s="20"/>
    </row>
    <row r="21" spans="1:8" ht="13.5" customHeight="1">
      <c r="A21" s="527" t="s">
        <v>842</v>
      </c>
      <c r="B21" s="523" t="s">
        <v>671</v>
      </c>
      <c r="C21" s="360">
        <f>SUM(C22:C26)</f>
        <v>116495</v>
      </c>
      <c r="D21" s="360">
        <f>SUM(D22:D26)</f>
        <v>107228</v>
      </c>
      <c r="E21" s="307">
        <f>SUM(E22:E26)</f>
        <v>223723</v>
      </c>
      <c r="F21" s="521">
        <f t="shared" si="0"/>
        <v>52.07</v>
      </c>
      <c r="G21" s="380">
        <f t="shared" si="1"/>
        <v>47.93</v>
      </c>
      <c r="H21" s="20"/>
    </row>
    <row r="22" spans="1:8" ht="15.75" customHeight="1">
      <c r="A22" s="508" t="s">
        <v>659</v>
      </c>
      <c r="B22" s="522" t="s">
        <v>837</v>
      </c>
      <c r="C22" s="104">
        <v>3368</v>
      </c>
      <c r="D22" s="104">
        <v>3296</v>
      </c>
      <c r="E22" s="102">
        <f t="shared" si="2"/>
        <v>6664</v>
      </c>
      <c r="F22" s="106">
        <f t="shared" si="0"/>
        <v>50.54</v>
      </c>
      <c r="G22" s="107">
        <f t="shared" si="1"/>
        <v>49.46</v>
      </c>
      <c r="H22" s="20"/>
    </row>
    <row r="23" spans="1:8" ht="14.25" customHeight="1">
      <c r="A23" s="508" t="s">
        <v>1394</v>
      </c>
      <c r="B23" s="522" t="s">
        <v>837</v>
      </c>
      <c r="C23" s="104">
        <v>2947</v>
      </c>
      <c r="D23" s="104">
        <v>2856</v>
      </c>
      <c r="E23" s="102">
        <f t="shared" si="2"/>
        <v>5803</v>
      </c>
      <c r="F23" s="106">
        <f t="shared" si="0"/>
        <v>50.78</v>
      </c>
      <c r="G23" s="107">
        <f t="shared" si="1"/>
        <v>49.22</v>
      </c>
      <c r="H23" s="20"/>
    </row>
    <row r="24" spans="1:8" ht="15.75" customHeight="1">
      <c r="A24" s="508" t="s">
        <v>666</v>
      </c>
      <c r="B24" s="522" t="s">
        <v>837</v>
      </c>
      <c r="C24" s="104">
        <v>2722</v>
      </c>
      <c r="D24" s="104">
        <v>2552</v>
      </c>
      <c r="E24" s="102">
        <f t="shared" si="2"/>
        <v>5274</v>
      </c>
      <c r="F24" s="106">
        <f t="shared" si="0"/>
        <v>51.61</v>
      </c>
      <c r="G24" s="107">
        <f t="shared" si="1"/>
        <v>48.39</v>
      </c>
      <c r="H24" s="20"/>
    </row>
    <row r="25" spans="1:8" ht="14.25" customHeight="1">
      <c r="A25" s="508" t="s">
        <v>665</v>
      </c>
      <c r="B25" s="522" t="s">
        <v>837</v>
      </c>
      <c r="C25" s="104">
        <v>2617</v>
      </c>
      <c r="D25" s="104">
        <v>2538</v>
      </c>
      <c r="E25" s="102">
        <f t="shared" si="2"/>
        <v>5155</v>
      </c>
      <c r="F25" s="106">
        <f t="shared" si="0"/>
        <v>50.77</v>
      </c>
      <c r="G25" s="107">
        <f t="shared" si="1"/>
        <v>49.23</v>
      </c>
      <c r="H25" s="20"/>
    </row>
    <row r="26" spans="1:8" ht="15.75" customHeight="1">
      <c r="A26" s="508" t="s">
        <v>1399</v>
      </c>
      <c r="B26" s="522" t="s">
        <v>889</v>
      </c>
      <c r="C26" s="104">
        <v>104841</v>
      </c>
      <c r="D26" s="104">
        <v>95986</v>
      </c>
      <c r="E26" s="102">
        <f t="shared" si="2"/>
        <v>200827</v>
      </c>
      <c r="F26" s="106">
        <f t="shared" si="0"/>
        <v>52.2</v>
      </c>
      <c r="G26" s="107">
        <f t="shared" si="1"/>
        <v>47.8</v>
      </c>
      <c r="H26" s="20"/>
    </row>
    <row r="27" spans="1:8" ht="15.75" customHeight="1">
      <c r="A27" s="527" t="s">
        <v>843</v>
      </c>
      <c r="B27" s="523" t="s">
        <v>672</v>
      </c>
      <c r="C27" s="360">
        <f>SUM(C28:C30)</f>
        <v>54610</v>
      </c>
      <c r="D27" s="360">
        <f>SUM(D28:D30)</f>
        <v>48415</v>
      </c>
      <c r="E27" s="253">
        <f t="shared" si="2"/>
        <v>103025</v>
      </c>
      <c r="F27" s="521">
        <f t="shared" si="0"/>
        <v>53.01</v>
      </c>
      <c r="G27" s="380">
        <f t="shared" si="1"/>
        <v>46.99</v>
      </c>
      <c r="H27" s="20"/>
    </row>
    <row r="28" spans="1:8" ht="13.5" customHeight="1">
      <c r="A28" s="508" t="s">
        <v>667</v>
      </c>
      <c r="B28" s="522" t="s">
        <v>837</v>
      </c>
      <c r="C28" s="104">
        <v>2843</v>
      </c>
      <c r="D28" s="104">
        <v>2612</v>
      </c>
      <c r="E28" s="102">
        <f t="shared" si="2"/>
        <v>5455</v>
      </c>
      <c r="F28" s="106">
        <f t="shared" si="0"/>
        <v>52.12</v>
      </c>
      <c r="G28" s="107">
        <f t="shared" si="1"/>
        <v>47.88</v>
      </c>
      <c r="H28" s="20"/>
    </row>
    <row r="29" spans="1:8" ht="12.75" customHeight="1">
      <c r="A29" s="508" t="s">
        <v>668</v>
      </c>
      <c r="B29" s="522" t="s">
        <v>837</v>
      </c>
      <c r="C29" s="104">
        <v>2736</v>
      </c>
      <c r="D29" s="104">
        <v>2608</v>
      </c>
      <c r="E29" s="102">
        <f t="shared" si="2"/>
        <v>5344</v>
      </c>
      <c r="F29" s="106">
        <f t="shared" si="0"/>
        <v>51.2</v>
      </c>
      <c r="G29" s="107">
        <f t="shared" si="1"/>
        <v>48.8</v>
      </c>
      <c r="H29" s="20"/>
    </row>
    <row r="30" spans="1:8" ht="15.75" customHeight="1">
      <c r="A30" s="508" t="s">
        <v>1416</v>
      </c>
      <c r="B30" s="522" t="s">
        <v>889</v>
      </c>
      <c r="C30" s="104">
        <v>49031</v>
      </c>
      <c r="D30" s="104">
        <v>43195</v>
      </c>
      <c r="E30" s="102">
        <f t="shared" si="2"/>
        <v>92226</v>
      </c>
      <c r="F30" s="106">
        <f t="shared" si="0"/>
        <v>53.16</v>
      </c>
      <c r="G30" s="107">
        <f t="shared" si="1"/>
        <v>46.84</v>
      </c>
      <c r="H30" s="20"/>
    </row>
    <row r="31" spans="1:8" ht="13.5" customHeight="1">
      <c r="A31" s="527" t="s">
        <v>844</v>
      </c>
      <c r="B31" s="523" t="s">
        <v>673</v>
      </c>
      <c r="C31" s="360">
        <f>SUM(C32:C35)</f>
        <v>24639</v>
      </c>
      <c r="D31" s="360">
        <f>SUM(D32:D35)</f>
        <v>23664</v>
      </c>
      <c r="E31" s="253">
        <f t="shared" si="2"/>
        <v>48303</v>
      </c>
      <c r="F31" s="521">
        <f t="shared" si="0"/>
        <v>51.01</v>
      </c>
      <c r="G31" s="380">
        <f t="shared" si="1"/>
        <v>48.99</v>
      </c>
      <c r="H31" s="20"/>
    </row>
    <row r="32" spans="1:8" ht="12.75" customHeight="1">
      <c r="A32" s="508" t="s">
        <v>660</v>
      </c>
      <c r="B32" s="522" t="s">
        <v>837</v>
      </c>
      <c r="C32" s="104">
        <v>3275</v>
      </c>
      <c r="D32" s="104">
        <v>3125</v>
      </c>
      <c r="E32" s="102">
        <f t="shared" si="2"/>
        <v>6400</v>
      </c>
      <c r="F32" s="106">
        <f t="shared" si="0"/>
        <v>51.17</v>
      </c>
      <c r="G32" s="107">
        <f t="shared" si="1"/>
        <v>48.83</v>
      </c>
      <c r="H32" s="20"/>
    </row>
    <row r="33" spans="1:8" ht="15.75" customHeight="1">
      <c r="A33" s="508" t="s">
        <v>661</v>
      </c>
      <c r="B33" s="522" t="s">
        <v>837</v>
      </c>
      <c r="C33" s="104">
        <v>3509</v>
      </c>
      <c r="D33" s="104">
        <v>3288</v>
      </c>
      <c r="E33" s="102">
        <f t="shared" si="2"/>
        <v>6797</v>
      </c>
      <c r="F33" s="106">
        <f t="shared" si="0"/>
        <v>51.63</v>
      </c>
      <c r="G33" s="107">
        <f t="shared" si="1"/>
        <v>48.37</v>
      </c>
      <c r="H33" s="20"/>
    </row>
    <row r="34" spans="1:8" ht="15.75" customHeight="1">
      <c r="A34" s="508" t="s">
        <v>662</v>
      </c>
      <c r="B34" s="522" t="s">
        <v>837</v>
      </c>
      <c r="C34" s="104">
        <v>2564</v>
      </c>
      <c r="D34" s="104">
        <v>2394</v>
      </c>
      <c r="E34" s="102">
        <f t="shared" si="2"/>
        <v>4958</v>
      </c>
      <c r="F34" s="106">
        <f t="shared" si="0"/>
        <v>51.71</v>
      </c>
      <c r="G34" s="107">
        <f t="shared" si="1"/>
        <v>48.29</v>
      </c>
      <c r="H34" s="20"/>
    </row>
    <row r="35" spans="1:8" ht="15.75" customHeight="1">
      <c r="A35" s="509" t="s">
        <v>1403</v>
      </c>
      <c r="B35" s="522" t="s">
        <v>889</v>
      </c>
      <c r="C35" s="126">
        <v>15291</v>
      </c>
      <c r="D35" s="114">
        <v>14857</v>
      </c>
      <c r="E35" s="116">
        <f t="shared" si="2"/>
        <v>30148</v>
      </c>
      <c r="F35" s="106">
        <f t="shared" si="0"/>
        <v>50.72</v>
      </c>
      <c r="G35" s="107">
        <f t="shared" si="1"/>
        <v>49.28</v>
      </c>
      <c r="H35" s="20"/>
    </row>
    <row r="36" spans="1:8" ht="12.75" customHeight="1">
      <c r="A36" s="524" t="s">
        <v>1074</v>
      </c>
      <c r="B36" s="525" t="s">
        <v>674</v>
      </c>
      <c r="C36" s="510">
        <f>SUM(C7,C21,C27,C31)</f>
        <v>307272</v>
      </c>
      <c r="D36" s="510">
        <f>SUM(D7,D21,D27,D31)</f>
        <v>285442</v>
      </c>
      <c r="E36" s="511">
        <f>SUM(E7,E21,E27,E31)</f>
        <v>592714</v>
      </c>
      <c r="F36" s="382">
        <f t="shared" si="0"/>
        <v>51.84</v>
      </c>
      <c r="G36" s="383">
        <f t="shared" si="1"/>
        <v>48.16</v>
      </c>
      <c r="H36" s="20"/>
    </row>
    <row r="37" spans="1:8" ht="15.75" customHeight="1">
      <c r="A37" s="1908"/>
      <c r="B37" s="1909"/>
      <c r="C37" s="1909"/>
      <c r="D37" s="130"/>
      <c r="E37" s="1904" t="s">
        <v>640</v>
      </c>
      <c r="F37" s="1904"/>
      <c r="G37" s="1904"/>
    </row>
    <row r="38" spans="1:8" ht="15.75" customHeight="1">
      <c r="A38" s="67"/>
      <c r="B38" s="67"/>
      <c r="C38" s="82"/>
      <c r="D38" s="82"/>
      <c r="E38" s="15"/>
      <c r="F38" s="89"/>
      <c r="G38" s="89"/>
    </row>
    <row r="39" spans="1:8" ht="15.75" customHeight="1">
      <c r="A39" s="67"/>
      <c r="B39" s="67"/>
      <c r="C39" s="82"/>
      <c r="D39" s="82"/>
      <c r="E39" s="15"/>
      <c r="F39" s="89"/>
      <c r="G39" s="89"/>
    </row>
    <row r="40" spans="1:8" ht="15.75" customHeight="1">
      <c r="A40" s="67"/>
      <c r="B40" s="67"/>
      <c r="C40" s="82"/>
      <c r="D40" s="82"/>
      <c r="E40" s="15"/>
      <c r="F40" s="89"/>
      <c r="G40" s="89"/>
    </row>
    <row r="41" spans="1:8" ht="15.75" customHeight="1">
      <c r="A41" s="67"/>
      <c r="B41" s="67"/>
      <c r="C41" s="82"/>
      <c r="D41" s="82"/>
      <c r="E41" s="15"/>
      <c r="F41" s="89"/>
      <c r="G41" s="89"/>
    </row>
    <row r="42" spans="1:8" ht="15.75" customHeight="1">
      <c r="A42" s="67"/>
      <c r="B42" s="67"/>
      <c r="C42" s="82"/>
      <c r="D42" s="82"/>
      <c r="E42" s="15"/>
      <c r="F42" s="89"/>
      <c r="G42" s="89"/>
    </row>
    <row r="43" spans="1:8" ht="15.75" customHeight="1">
      <c r="A43" s="67"/>
      <c r="B43" s="67"/>
      <c r="C43" s="82"/>
      <c r="D43" s="82"/>
      <c r="E43" s="15"/>
      <c r="F43" s="89"/>
      <c r="G43" s="89"/>
    </row>
    <row r="44" spans="1:8" ht="15.75" customHeight="1">
      <c r="A44" s="67"/>
      <c r="B44" s="67"/>
      <c r="C44" s="82"/>
      <c r="D44" s="82"/>
      <c r="E44" s="15"/>
      <c r="F44" s="89"/>
      <c r="G44" s="89"/>
    </row>
    <row r="45" spans="1:8" ht="15.75" customHeight="1">
      <c r="A45" s="67"/>
      <c r="B45" s="67"/>
      <c r="C45" s="82"/>
      <c r="D45" s="82"/>
      <c r="E45" s="15"/>
      <c r="F45" s="89"/>
      <c r="G45" s="89"/>
    </row>
    <row r="46" spans="1:8" ht="15.75" customHeight="1">
      <c r="A46" s="67"/>
      <c r="B46" s="67"/>
      <c r="C46" s="82"/>
      <c r="D46" s="82"/>
      <c r="E46" s="15"/>
      <c r="F46" s="89"/>
      <c r="G46" s="89"/>
    </row>
    <row r="47" spans="1:8" ht="15.75" customHeight="1">
      <c r="A47" s="67"/>
      <c r="B47" s="67"/>
      <c r="C47" s="82"/>
      <c r="D47" s="82"/>
      <c r="E47" s="15"/>
      <c r="F47" s="89"/>
      <c r="G47" s="89"/>
    </row>
    <row r="48" spans="1:8" ht="15.75" customHeight="1">
      <c r="A48" s="67"/>
      <c r="B48" s="67"/>
      <c r="C48" s="82"/>
      <c r="D48" s="82"/>
      <c r="E48" s="15"/>
      <c r="F48" s="89"/>
      <c r="G48" s="89"/>
    </row>
    <row r="49" spans="1:7" ht="15.75" customHeight="1">
      <c r="A49" s="67"/>
      <c r="B49" s="67"/>
      <c r="C49" s="82"/>
      <c r="D49" s="82"/>
      <c r="E49" s="15"/>
      <c r="F49" s="89"/>
      <c r="G49" s="89"/>
    </row>
    <row r="50" spans="1:7" ht="15.75" customHeight="1">
      <c r="A50" s="67"/>
      <c r="B50" s="67"/>
      <c r="C50" s="82"/>
      <c r="D50" s="82"/>
      <c r="E50" s="15"/>
      <c r="F50" s="89"/>
      <c r="G50" s="89"/>
    </row>
    <row r="51" spans="1:7" ht="15.75" customHeight="1">
      <c r="A51" s="67"/>
      <c r="B51" s="67"/>
      <c r="C51" s="82"/>
      <c r="D51" s="82"/>
      <c r="E51" s="15"/>
      <c r="F51" s="89"/>
      <c r="G51" s="89"/>
    </row>
    <row r="52" spans="1:7" ht="15.75" customHeight="1">
      <c r="A52" s="67"/>
      <c r="B52" s="67"/>
      <c r="C52" s="82"/>
      <c r="D52" s="82"/>
      <c r="E52" s="15"/>
      <c r="F52" s="89"/>
      <c r="G52" s="89"/>
    </row>
    <row r="53" spans="1:7" ht="15.75" customHeight="1">
      <c r="A53" s="67"/>
      <c r="B53" s="67"/>
      <c r="C53" s="82"/>
      <c r="D53" s="82"/>
      <c r="E53" s="15"/>
      <c r="F53" s="89"/>
      <c r="G53" s="89"/>
    </row>
    <row r="54" spans="1:7" ht="15.75" customHeight="1">
      <c r="A54" s="67"/>
      <c r="B54" s="67"/>
      <c r="C54" s="82"/>
      <c r="D54" s="82"/>
      <c r="E54" s="15"/>
      <c r="F54" s="89"/>
      <c r="G54" s="89"/>
    </row>
    <row r="55" spans="1:7" ht="15.75" customHeight="1">
      <c r="A55" s="67"/>
      <c r="B55" s="67"/>
      <c r="C55" s="82"/>
      <c r="D55" s="82"/>
      <c r="E55" s="15"/>
      <c r="F55" s="89"/>
      <c r="G55" s="89"/>
    </row>
    <row r="56" spans="1:7" ht="15.75" customHeight="1">
      <c r="A56" s="67"/>
      <c r="B56" s="67"/>
      <c r="C56" s="82"/>
      <c r="D56" s="82"/>
      <c r="E56" s="15"/>
      <c r="F56" s="89"/>
      <c r="G56" s="89"/>
    </row>
    <row r="57" spans="1:7" ht="15.75" customHeight="1">
      <c r="A57" s="67"/>
      <c r="B57" s="67"/>
      <c r="C57" s="82"/>
      <c r="D57" s="82"/>
      <c r="E57" s="15"/>
      <c r="F57" s="89"/>
      <c r="G57" s="89"/>
    </row>
    <row r="58" spans="1:7" ht="15.75" customHeight="1">
      <c r="A58" s="67"/>
      <c r="B58" s="67"/>
      <c r="C58" s="82"/>
      <c r="D58" s="82"/>
      <c r="E58" s="15"/>
      <c r="F58" s="89"/>
      <c r="G58" s="89"/>
    </row>
    <row r="59" spans="1:7" ht="15.75" customHeight="1">
      <c r="A59" s="67"/>
      <c r="B59" s="67"/>
      <c r="C59" s="82"/>
      <c r="D59" s="82"/>
      <c r="E59" s="15"/>
      <c r="F59" s="89"/>
      <c r="G59" s="89"/>
    </row>
    <row r="60" spans="1:7" ht="15.75" customHeight="1">
      <c r="A60" s="67"/>
      <c r="B60" s="67"/>
      <c r="C60" s="82"/>
      <c r="D60" s="82"/>
      <c r="E60" s="15"/>
      <c r="F60" s="89"/>
      <c r="G60" s="89"/>
    </row>
    <row r="61" spans="1:7" ht="15.75" customHeight="1">
      <c r="A61" s="67"/>
      <c r="B61" s="67"/>
      <c r="C61" s="82"/>
      <c r="D61" s="82"/>
      <c r="E61" s="15"/>
      <c r="F61" s="89"/>
      <c r="G61" s="89"/>
    </row>
    <row r="62" spans="1:7" ht="15.75" customHeight="1">
      <c r="A62" s="67"/>
      <c r="B62" s="67"/>
      <c r="C62" s="82"/>
      <c r="D62" s="82"/>
      <c r="E62" s="15"/>
      <c r="F62" s="89"/>
      <c r="G62" s="89"/>
    </row>
    <row r="63" spans="1:7" ht="15.75" customHeight="1">
      <c r="A63" s="67"/>
      <c r="B63" s="67"/>
      <c r="C63" s="82"/>
      <c r="D63" s="82"/>
      <c r="E63" s="15"/>
      <c r="F63" s="89"/>
      <c r="G63" s="89"/>
    </row>
    <row r="64" spans="1:7" ht="15.75" customHeight="1">
      <c r="A64" s="67"/>
      <c r="B64" s="67"/>
      <c r="C64" s="82"/>
      <c r="D64" s="82"/>
      <c r="E64" s="15"/>
      <c r="F64" s="89"/>
      <c r="G64" s="89"/>
    </row>
    <row r="65" spans="1:7" ht="15.75" customHeight="1">
      <c r="A65" s="67"/>
      <c r="B65" s="67"/>
      <c r="C65" s="82"/>
      <c r="D65" s="82"/>
      <c r="E65" s="15"/>
      <c r="F65" s="89"/>
      <c r="G65" s="89"/>
    </row>
    <row r="66" spans="1:7" ht="15.75" customHeight="1">
      <c r="A66" s="67"/>
      <c r="B66" s="67"/>
      <c r="C66" s="82"/>
      <c r="D66" s="82"/>
      <c r="E66" s="15"/>
      <c r="F66" s="89"/>
      <c r="G66" s="89"/>
    </row>
    <row r="67" spans="1:7" ht="15.75" customHeight="1">
      <c r="A67" s="67"/>
      <c r="B67" s="67"/>
      <c r="C67" s="82"/>
      <c r="D67" s="82"/>
      <c r="E67" s="15"/>
      <c r="F67" s="89"/>
      <c r="G67" s="89"/>
    </row>
    <row r="68" spans="1:7" ht="15.75" customHeight="1">
      <c r="A68" s="67"/>
      <c r="B68" s="67"/>
      <c r="C68" s="82"/>
      <c r="D68" s="82"/>
      <c r="E68" s="15"/>
      <c r="F68" s="89"/>
      <c r="G68" s="89"/>
    </row>
    <row r="69" spans="1:7" ht="15.75" customHeight="1">
      <c r="A69" s="67"/>
      <c r="B69" s="67"/>
      <c r="C69" s="82"/>
      <c r="D69" s="82"/>
      <c r="E69" s="15"/>
      <c r="F69" s="89"/>
      <c r="G69" s="89"/>
    </row>
    <row r="70" spans="1:7" ht="15.75" customHeight="1">
      <c r="A70" s="67"/>
      <c r="B70" s="67"/>
      <c r="C70" s="82"/>
      <c r="D70" s="82"/>
      <c r="E70" s="15"/>
      <c r="F70" s="89"/>
      <c r="G70" s="89"/>
    </row>
    <row r="71" spans="1:7" ht="15.75" customHeight="1">
      <c r="A71" s="67"/>
      <c r="B71" s="67"/>
      <c r="C71" s="82"/>
      <c r="D71" s="82"/>
      <c r="E71" s="15"/>
      <c r="F71" s="89"/>
      <c r="G71" s="89"/>
    </row>
    <row r="72" spans="1:7" ht="15.75" customHeight="1">
      <c r="A72" s="67"/>
      <c r="B72" s="67"/>
      <c r="C72" s="82"/>
      <c r="D72" s="82"/>
      <c r="E72" s="15"/>
      <c r="F72" s="89"/>
      <c r="G72" s="89"/>
    </row>
    <row r="73" spans="1:7" ht="15.75" customHeight="1">
      <c r="A73" s="67"/>
      <c r="B73" s="67"/>
      <c r="C73" s="82"/>
      <c r="D73" s="82"/>
      <c r="E73" s="15"/>
      <c r="F73" s="89"/>
      <c r="G73" s="89"/>
    </row>
    <row r="74" spans="1:7" ht="15.75" customHeight="1">
      <c r="A74" s="67"/>
      <c r="B74" s="67"/>
      <c r="C74" s="82"/>
      <c r="D74" s="82"/>
      <c r="E74" s="15"/>
      <c r="F74" s="89"/>
      <c r="G74" s="89"/>
    </row>
    <row r="75" spans="1:7" ht="15.75" customHeight="1">
      <c r="A75" s="67"/>
      <c r="B75" s="67"/>
      <c r="C75" s="82"/>
      <c r="D75" s="82"/>
      <c r="E75" s="15"/>
      <c r="F75" s="89"/>
      <c r="G75" s="89"/>
    </row>
  </sheetData>
  <mergeCells count="9">
    <mergeCell ref="A1:G1"/>
    <mergeCell ref="A2:G2"/>
    <mergeCell ref="A4:A5"/>
    <mergeCell ref="E37:G37"/>
    <mergeCell ref="F4:G4"/>
    <mergeCell ref="C4:E4"/>
    <mergeCell ref="B4:B5"/>
    <mergeCell ref="A37:C37"/>
    <mergeCell ref="E3:G3"/>
  </mergeCells>
  <phoneticPr fontId="0" type="noConversion"/>
  <printOptions horizontalCentered="1" verticalCentered="1"/>
  <pageMargins left="0.1" right="0.1" top="0.64" bottom="0.25" header="0.49" footer="0.1"/>
  <pageSetup paperSize="9" orientation="landscape" blackAndWhite="1" r:id="rId1"/>
  <headerFooter alignWithMargins="0"/>
</worksheet>
</file>

<file path=xl/worksheets/sheet17.xml><?xml version="1.0" encoding="utf-8"?>
<worksheet xmlns="http://schemas.openxmlformats.org/spreadsheetml/2006/main" xmlns:r="http://schemas.openxmlformats.org/officeDocument/2006/relationships">
  <sheetPr codeName="Sheet44"/>
  <dimension ref="A1:U63"/>
  <sheetViews>
    <sheetView topLeftCell="A31" workbookViewId="0">
      <selection activeCell="C3" sqref="C3"/>
    </sheetView>
  </sheetViews>
  <sheetFormatPr defaultRowHeight="18.75" customHeight="1"/>
  <cols>
    <col min="1" max="1" width="14.85546875" style="13" customWidth="1"/>
    <col min="2" max="2" width="8.28515625" style="13" customWidth="1"/>
    <col min="3" max="3" width="7.5703125" style="13" customWidth="1"/>
    <col min="4" max="4" width="7.28515625" style="13" customWidth="1"/>
    <col min="5" max="5" width="6.28515625" style="13" customWidth="1"/>
    <col min="6" max="6" width="7.28515625" style="13" customWidth="1"/>
    <col min="7" max="7" width="6.140625" style="13" customWidth="1"/>
    <col min="8" max="8" width="6.85546875" style="13" customWidth="1"/>
    <col min="9" max="9" width="6.28515625" style="13" customWidth="1"/>
    <col min="10" max="10" width="7" style="13" customWidth="1"/>
    <col min="11" max="11" width="5.85546875" style="13" customWidth="1"/>
    <col min="12" max="12" width="8.5703125" style="13" customWidth="1"/>
    <col min="13" max="13" width="5.85546875" style="13" customWidth="1"/>
    <col min="14" max="14" width="8" style="13" customWidth="1"/>
    <col min="15" max="15" width="6.85546875" style="13" customWidth="1"/>
    <col min="16" max="16" width="8.140625" style="13" customWidth="1"/>
    <col min="17" max="17" width="5.85546875" style="13" customWidth="1"/>
    <col min="18" max="18" width="9.42578125" style="13" customWidth="1"/>
    <col min="19" max="16384" width="9.140625" style="13"/>
  </cols>
  <sheetData>
    <row r="1" spans="1:18" ht="18.75" customHeight="1">
      <c r="A1" s="1825" t="s">
        <v>802</v>
      </c>
      <c r="B1" s="1825"/>
      <c r="C1" s="1825"/>
      <c r="D1" s="1825"/>
      <c r="E1" s="1825"/>
      <c r="F1" s="1825"/>
      <c r="G1" s="1825"/>
      <c r="H1" s="1825"/>
      <c r="I1" s="1825"/>
      <c r="J1" s="1825"/>
      <c r="K1" s="1825"/>
      <c r="L1" s="1825"/>
      <c r="M1" s="1825"/>
      <c r="N1" s="1825"/>
      <c r="O1" s="1825"/>
      <c r="P1" s="1825"/>
      <c r="Q1" s="1825"/>
      <c r="R1" s="1825"/>
    </row>
    <row r="2" spans="1:18" ht="33" customHeight="1">
      <c r="A2" s="1853" t="str">
        <f>"Distribution of Population over different categories of workers and non-workers 
in the district of "&amp;District!$A$1&amp;", 2011"</f>
        <v>Distribution of Population over different categories of workers and non-workers 
in the district of Purba Medinipur, 2011</v>
      </c>
      <c r="B2" s="1853"/>
      <c r="C2" s="1853"/>
      <c r="D2" s="1853"/>
      <c r="E2" s="1853"/>
      <c r="F2" s="1853"/>
      <c r="G2" s="1853"/>
      <c r="H2" s="1853"/>
      <c r="I2" s="1853"/>
      <c r="J2" s="1853"/>
      <c r="K2" s="1853"/>
      <c r="L2" s="1853"/>
      <c r="M2" s="1853"/>
      <c r="N2" s="1853"/>
      <c r="O2" s="1853"/>
      <c r="P2" s="1853"/>
      <c r="Q2" s="1853"/>
      <c r="R2" s="1853"/>
    </row>
    <row r="3" spans="1:18" ht="12.75" customHeight="1">
      <c r="A3" s="1252"/>
      <c r="B3" s="1252"/>
      <c r="C3" s="1252"/>
      <c r="D3" s="1252"/>
      <c r="E3" s="1252"/>
      <c r="F3" s="1252"/>
      <c r="G3" s="1252"/>
      <c r="H3" s="1252"/>
      <c r="I3" s="1252"/>
      <c r="J3" s="1252"/>
      <c r="K3" s="1252"/>
      <c r="L3" s="1252"/>
      <c r="M3" s="1252"/>
      <c r="N3" s="1252"/>
      <c r="O3" s="1919" t="s">
        <v>244</v>
      </c>
      <c r="P3" s="1919"/>
      <c r="Q3" s="1919"/>
      <c r="R3" s="1919"/>
    </row>
    <row r="4" spans="1:18" ht="24.75" customHeight="1">
      <c r="A4" s="1833" t="s">
        <v>168</v>
      </c>
      <c r="B4" s="1913" t="s">
        <v>1209</v>
      </c>
      <c r="C4" s="1914"/>
      <c r="D4" s="1915" t="s">
        <v>1093</v>
      </c>
      <c r="E4" s="1915"/>
      <c r="F4" s="1915"/>
      <c r="G4" s="1915"/>
      <c r="H4" s="1915"/>
      <c r="I4" s="1915"/>
      <c r="J4" s="1915"/>
      <c r="K4" s="1914"/>
      <c r="L4" s="1913" t="s">
        <v>825</v>
      </c>
      <c r="M4" s="1914"/>
      <c r="N4" s="1913" t="s">
        <v>826</v>
      </c>
      <c r="O4" s="1914"/>
      <c r="P4" s="1918" t="s">
        <v>921</v>
      </c>
      <c r="Q4" s="1914"/>
      <c r="R4" s="1833" t="s">
        <v>1098</v>
      </c>
    </row>
    <row r="5" spans="1:18" ht="28.5" customHeight="1">
      <c r="A5" s="1870"/>
      <c r="B5" s="1866" t="s">
        <v>902</v>
      </c>
      <c r="C5" s="1906" t="s">
        <v>1045</v>
      </c>
      <c r="D5" s="1916" t="s">
        <v>1092</v>
      </c>
      <c r="E5" s="1917"/>
      <c r="F5" s="1916" t="s">
        <v>1094</v>
      </c>
      <c r="G5" s="1917"/>
      <c r="H5" s="1916" t="s">
        <v>1097</v>
      </c>
      <c r="I5" s="1917"/>
      <c r="J5" s="1916" t="s">
        <v>1095</v>
      </c>
      <c r="K5" s="1917"/>
      <c r="L5" s="1866" t="s">
        <v>902</v>
      </c>
      <c r="M5" s="1906" t="s">
        <v>1045</v>
      </c>
      <c r="N5" s="1866" t="s">
        <v>902</v>
      </c>
      <c r="O5" s="1906" t="s">
        <v>1045</v>
      </c>
      <c r="P5" s="1866" t="s">
        <v>902</v>
      </c>
      <c r="Q5" s="1906" t="s">
        <v>1045</v>
      </c>
      <c r="R5" s="1870"/>
    </row>
    <row r="6" spans="1:18" ht="18.75" customHeight="1">
      <c r="A6" s="1834"/>
      <c r="B6" s="1860"/>
      <c r="C6" s="1907"/>
      <c r="D6" s="1166" t="s">
        <v>902</v>
      </c>
      <c r="E6" s="1167" t="s">
        <v>1091</v>
      </c>
      <c r="F6" s="1166" t="s">
        <v>902</v>
      </c>
      <c r="G6" s="1167" t="s">
        <v>1091</v>
      </c>
      <c r="H6" s="1166" t="s">
        <v>902</v>
      </c>
      <c r="I6" s="1167" t="s">
        <v>1091</v>
      </c>
      <c r="J6" s="1166" t="s">
        <v>902</v>
      </c>
      <c r="K6" s="1167" t="s">
        <v>1091</v>
      </c>
      <c r="L6" s="1860"/>
      <c r="M6" s="1907"/>
      <c r="N6" s="1860"/>
      <c r="O6" s="1907"/>
      <c r="P6" s="1860"/>
      <c r="Q6" s="1907"/>
      <c r="R6" s="1834"/>
    </row>
    <row r="7" spans="1:18" ht="18.75" customHeight="1">
      <c r="A7" s="134" t="s">
        <v>955</v>
      </c>
      <c r="B7" s="137" t="s">
        <v>956</v>
      </c>
      <c r="C7" s="512" t="s">
        <v>957</v>
      </c>
      <c r="D7" s="137" t="s">
        <v>958</v>
      </c>
      <c r="E7" s="512" t="s">
        <v>959</v>
      </c>
      <c r="F7" s="137" t="s">
        <v>961</v>
      </c>
      <c r="G7" s="512" t="s">
        <v>962</v>
      </c>
      <c r="H7" s="137" t="s">
        <v>990</v>
      </c>
      <c r="I7" s="512" t="s">
        <v>991</v>
      </c>
      <c r="J7" s="137" t="s">
        <v>992</v>
      </c>
      <c r="K7" s="512" t="s">
        <v>993</v>
      </c>
      <c r="L7" s="137" t="s">
        <v>1046</v>
      </c>
      <c r="M7" s="136" t="s">
        <v>1048</v>
      </c>
      <c r="N7" s="137" t="s">
        <v>1049</v>
      </c>
      <c r="O7" s="136" t="s">
        <v>1050</v>
      </c>
      <c r="P7" s="137" t="s">
        <v>1051</v>
      </c>
      <c r="Q7" s="136" t="s">
        <v>1052</v>
      </c>
      <c r="R7" s="136" t="s">
        <v>1054</v>
      </c>
    </row>
    <row r="8" spans="1:18" ht="18.75" customHeight="1">
      <c r="A8" s="1328" t="s">
        <v>1267</v>
      </c>
      <c r="B8" s="893">
        <f>SUM(B9:B17)</f>
        <v>700806</v>
      </c>
      <c r="C8" s="380">
        <f t="shared" ref="C8:C24" si="0">ROUND(B8/$R8*100,2)</f>
        <v>39.11</v>
      </c>
      <c r="D8" s="893">
        <f>SUM(D9:D17)</f>
        <v>118867</v>
      </c>
      <c r="E8" s="380">
        <f t="shared" ref="E8:E24" si="1">ROUND(D8/$B8*100,2)</f>
        <v>16.96</v>
      </c>
      <c r="F8" s="893">
        <f>SUM(F9:F17)</f>
        <v>226447</v>
      </c>
      <c r="G8" s="380">
        <f>ROUND(F8/$B8*100,2)</f>
        <v>32.31</v>
      </c>
      <c r="H8" s="893">
        <f>SUM(H9:H17)</f>
        <v>65142</v>
      </c>
      <c r="I8" s="380">
        <f t="shared" ref="I8:I24" si="2">ROUND(H8/B8*100,2)</f>
        <v>9.3000000000000007</v>
      </c>
      <c r="J8" s="893">
        <f>SUM(J9:J17)</f>
        <v>290350</v>
      </c>
      <c r="K8" s="380">
        <f t="shared" ref="K8:K24" si="3">ROUND(J8/B8*100,2)</f>
        <v>41.43</v>
      </c>
      <c r="L8" s="893">
        <f>SUM(L9:L17)</f>
        <v>428921</v>
      </c>
      <c r="M8" s="380">
        <f t="shared" ref="M8:M24" si="4">ROUND(L8/R8*100,2)</f>
        <v>23.94</v>
      </c>
      <c r="N8" s="894">
        <f>SUM(N9:N17)</f>
        <v>271885</v>
      </c>
      <c r="O8" s="380">
        <f t="shared" ref="O8:O24" si="5">ROUND(N8/$R8*100,2)</f>
        <v>15.17</v>
      </c>
      <c r="P8" s="894">
        <f>SUM(P9:P17)</f>
        <v>1090889</v>
      </c>
      <c r="Q8" s="380">
        <f t="shared" ref="Q8:Q24" si="6">ROUND(P8/$R8*100,2)</f>
        <v>60.89</v>
      </c>
      <c r="R8" s="895">
        <f>SUM(R9:R17)</f>
        <v>1791695</v>
      </c>
    </row>
    <row r="9" spans="1:18" ht="18.75" customHeight="1">
      <c r="A9" s="278" t="s">
        <v>200</v>
      </c>
      <c r="B9" s="844">
        <v>88053</v>
      </c>
      <c r="C9" s="705">
        <f t="shared" si="0"/>
        <v>40.43</v>
      </c>
      <c r="D9" s="844">
        <v>15771</v>
      </c>
      <c r="E9" s="705">
        <f t="shared" si="1"/>
        <v>17.91</v>
      </c>
      <c r="F9" s="844">
        <v>31401</v>
      </c>
      <c r="G9" s="705">
        <f t="shared" ref="G9:G17" si="7">ROUND(F9/$B9*100,2)</f>
        <v>35.659999999999997</v>
      </c>
      <c r="H9" s="844">
        <v>8201</v>
      </c>
      <c r="I9" s="705">
        <f t="shared" si="2"/>
        <v>9.31</v>
      </c>
      <c r="J9" s="844">
        <v>32680</v>
      </c>
      <c r="K9" s="705">
        <f t="shared" si="3"/>
        <v>37.11</v>
      </c>
      <c r="L9" s="844">
        <v>57660</v>
      </c>
      <c r="M9" s="705">
        <f t="shared" si="4"/>
        <v>26.48</v>
      </c>
      <c r="N9" s="844">
        <v>30393</v>
      </c>
      <c r="O9" s="705">
        <f t="shared" si="5"/>
        <v>13.96</v>
      </c>
      <c r="P9" s="844">
        <v>129723</v>
      </c>
      <c r="Q9" s="705">
        <f t="shared" si="6"/>
        <v>59.57</v>
      </c>
      <c r="R9" s="286">
        <f t="shared" ref="R9:R17" si="8">SUM(L9,N9,P9)</f>
        <v>217776</v>
      </c>
    </row>
    <row r="10" spans="1:18" ht="18.75" customHeight="1">
      <c r="A10" s="278" t="s">
        <v>1386</v>
      </c>
      <c r="B10" s="844">
        <v>72746</v>
      </c>
      <c r="C10" s="705">
        <f t="shared" si="0"/>
        <v>36.520000000000003</v>
      </c>
      <c r="D10" s="844">
        <v>8884</v>
      </c>
      <c r="E10" s="705">
        <f t="shared" si="1"/>
        <v>12.21</v>
      </c>
      <c r="F10" s="844">
        <v>18565</v>
      </c>
      <c r="G10" s="705">
        <f t="shared" si="7"/>
        <v>25.52</v>
      </c>
      <c r="H10" s="844">
        <v>6304</v>
      </c>
      <c r="I10" s="705">
        <f t="shared" si="2"/>
        <v>8.67</v>
      </c>
      <c r="J10" s="844">
        <v>38993</v>
      </c>
      <c r="K10" s="705">
        <f t="shared" si="3"/>
        <v>53.6</v>
      </c>
      <c r="L10" s="844">
        <v>47276</v>
      </c>
      <c r="M10" s="705">
        <f t="shared" si="4"/>
        <v>23.73</v>
      </c>
      <c r="N10" s="844">
        <v>25470</v>
      </c>
      <c r="O10" s="705">
        <f t="shared" si="5"/>
        <v>12.79</v>
      </c>
      <c r="P10" s="844">
        <v>126464</v>
      </c>
      <c r="Q10" s="705">
        <f t="shared" si="6"/>
        <v>63.48</v>
      </c>
      <c r="R10" s="286">
        <f t="shared" si="8"/>
        <v>199210</v>
      </c>
    </row>
    <row r="11" spans="1:18" ht="18.75" customHeight="1">
      <c r="A11" s="278" t="s">
        <v>1388</v>
      </c>
      <c r="B11" s="844">
        <v>130131</v>
      </c>
      <c r="C11" s="705">
        <f t="shared" si="0"/>
        <v>45.93</v>
      </c>
      <c r="D11" s="844">
        <v>30980</v>
      </c>
      <c r="E11" s="705">
        <f t="shared" si="1"/>
        <v>23.81</v>
      </c>
      <c r="F11" s="844">
        <v>46520</v>
      </c>
      <c r="G11" s="705">
        <f t="shared" si="7"/>
        <v>35.75</v>
      </c>
      <c r="H11" s="844">
        <v>12662</v>
      </c>
      <c r="I11" s="705">
        <f t="shared" si="2"/>
        <v>9.73</v>
      </c>
      <c r="J11" s="844">
        <v>39969</v>
      </c>
      <c r="K11" s="705">
        <f t="shared" si="3"/>
        <v>30.71</v>
      </c>
      <c r="L11" s="844">
        <v>79007</v>
      </c>
      <c r="M11" s="705">
        <f t="shared" si="4"/>
        <v>27.89</v>
      </c>
      <c r="N11" s="844">
        <v>51124</v>
      </c>
      <c r="O11" s="705">
        <f t="shared" si="5"/>
        <v>18.05</v>
      </c>
      <c r="P11" s="844">
        <v>153172</v>
      </c>
      <c r="Q11" s="705">
        <f t="shared" si="6"/>
        <v>54.07</v>
      </c>
      <c r="R11" s="286">
        <f t="shared" si="8"/>
        <v>283303</v>
      </c>
    </row>
    <row r="12" spans="1:18" ht="18.75" customHeight="1">
      <c r="A12" s="278" t="s">
        <v>1385</v>
      </c>
      <c r="B12" s="844">
        <v>108809</v>
      </c>
      <c r="C12" s="705">
        <f t="shared" si="0"/>
        <v>37.5</v>
      </c>
      <c r="D12" s="844">
        <v>15545</v>
      </c>
      <c r="E12" s="705">
        <f t="shared" si="1"/>
        <v>14.29</v>
      </c>
      <c r="F12" s="844">
        <v>21973</v>
      </c>
      <c r="G12" s="705">
        <f t="shared" si="7"/>
        <v>20.190000000000001</v>
      </c>
      <c r="H12" s="844">
        <v>13935</v>
      </c>
      <c r="I12" s="705">
        <f t="shared" si="2"/>
        <v>12.81</v>
      </c>
      <c r="J12" s="844">
        <v>57356</v>
      </c>
      <c r="K12" s="705">
        <f t="shared" si="3"/>
        <v>52.71</v>
      </c>
      <c r="L12" s="844">
        <v>76176</v>
      </c>
      <c r="M12" s="705">
        <f t="shared" si="4"/>
        <v>26.26</v>
      </c>
      <c r="N12" s="844">
        <v>32633</v>
      </c>
      <c r="O12" s="705">
        <f t="shared" si="5"/>
        <v>11.25</v>
      </c>
      <c r="P12" s="844">
        <v>181315</v>
      </c>
      <c r="Q12" s="705">
        <f t="shared" si="6"/>
        <v>62.5</v>
      </c>
      <c r="R12" s="286">
        <f t="shared" si="8"/>
        <v>290124</v>
      </c>
    </row>
    <row r="13" spans="1:18" ht="18.75" customHeight="1">
      <c r="A13" s="278" t="s">
        <v>1390</v>
      </c>
      <c r="B13" s="844">
        <v>86813</v>
      </c>
      <c r="C13" s="705">
        <f t="shared" si="0"/>
        <v>38.26</v>
      </c>
      <c r="D13" s="844">
        <v>17464</v>
      </c>
      <c r="E13" s="705">
        <f t="shared" si="1"/>
        <v>20.12</v>
      </c>
      <c r="F13" s="844">
        <v>41363</v>
      </c>
      <c r="G13" s="705">
        <f t="shared" si="7"/>
        <v>47.65</v>
      </c>
      <c r="H13" s="844">
        <v>2740</v>
      </c>
      <c r="I13" s="705">
        <f t="shared" si="2"/>
        <v>3.16</v>
      </c>
      <c r="J13" s="844">
        <v>25246</v>
      </c>
      <c r="K13" s="705">
        <f t="shared" si="3"/>
        <v>29.08</v>
      </c>
      <c r="L13" s="844">
        <v>44085</v>
      </c>
      <c r="M13" s="705">
        <f t="shared" si="4"/>
        <v>19.43</v>
      </c>
      <c r="N13" s="844">
        <v>42728</v>
      </c>
      <c r="O13" s="705">
        <f t="shared" si="5"/>
        <v>18.829999999999998</v>
      </c>
      <c r="P13" s="844">
        <v>140114</v>
      </c>
      <c r="Q13" s="705">
        <f t="shared" si="6"/>
        <v>61.74</v>
      </c>
      <c r="R13" s="286">
        <f t="shared" si="8"/>
        <v>226927</v>
      </c>
    </row>
    <row r="14" spans="1:18" ht="18.75" customHeight="1">
      <c r="A14" s="278" t="s">
        <v>1391</v>
      </c>
      <c r="B14" s="844">
        <v>103599</v>
      </c>
      <c r="C14" s="705">
        <f t="shared" si="0"/>
        <v>39.39</v>
      </c>
      <c r="D14" s="844">
        <v>19136</v>
      </c>
      <c r="E14" s="705">
        <f t="shared" si="1"/>
        <v>18.47</v>
      </c>
      <c r="F14" s="844">
        <v>35377</v>
      </c>
      <c r="G14" s="705">
        <f t="shared" si="7"/>
        <v>34.15</v>
      </c>
      <c r="H14" s="844">
        <v>12350</v>
      </c>
      <c r="I14" s="705">
        <f t="shared" si="2"/>
        <v>11.92</v>
      </c>
      <c r="J14" s="844">
        <v>36736</v>
      </c>
      <c r="K14" s="705">
        <f t="shared" si="3"/>
        <v>35.46</v>
      </c>
      <c r="L14" s="844">
        <v>61703</v>
      </c>
      <c r="M14" s="705">
        <f t="shared" si="4"/>
        <v>23.46</v>
      </c>
      <c r="N14" s="844">
        <v>41896</v>
      </c>
      <c r="O14" s="705">
        <f t="shared" si="5"/>
        <v>15.93</v>
      </c>
      <c r="P14" s="844">
        <v>159399</v>
      </c>
      <c r="Q14" s="705">
        <f t="shared" si="6"/>
        <v>60.61</v>
      </c>
      <c r="R14" s="286">
        <f t="shared" si="8"/>
        <v>262998</v>
      </c>
    </row>
    <row r="15" spans="1:18" ht="18.75" customHeight="1">
      <c r="A15" s="1332" t="s">
        <v>1392</v>
      </c>
      <c r="B15" s="844">
        <v>67904</v>
      </c>
      <c r="C15" s="705">
        <f t="shared" si="0"/>
        <v>36.1</v>
      </c>
      <c r="D15" s="844">
        <v>9140</v>
      </c>
      <c r="E15" s="705">
        <f t="shared" si="1"/>
        <v>13.46</v>
      </c>
      <c r="F15" s="844">
        <v>27771</v>
      </c>
      <c r="G15" s="705">
        <f t="shared" si="7"/>
        <v>40.9</v>
      </c>
      <c r="H15" s="844">
        <v>7189</v>
      </c>
      <c r="I15" s="705">
        <f t="shared" si="2"/>
        <v>10.59</v>
      </c>
      <c r="J15" s="844">
        <v>23804</v>
      </c>
      <c r="K15" s="705">
        <f t="shared" si="3"/>
        <v>35.06</v>
      </c>
      <c r="L15" s="844">
        <v>29107</v>
      </c>
      <c r="M15" s="705">
        <f t="shared" si="4"/>
        <v>15.47</v>
      </c>
      <c r="N15" s="844">
        <v>38797</v>
      </c>
      <c r="O15" s="705">
        <f t="shared" si="5"/>
        <v>20.62</v>
      </c>
      <c r="P15" s="844">
        <v>120215</v>
      </c>
      <c r="Q15" s="705">
        <f t="shared" si="6"/>
        <v>63.9</v>
      </c>
      <c r="R15" s="286">
        <f t="shared" si="8"/>
        <v>188119</v>
      </c>
    </row>
    <row r="16" spans="1:18" ht="18.75" customHeight="1">
      <c r="A16" s="1335" t="s">
        <v>1389</v>
      </c>
      <c r="B16" s="844">
        <v>19822</v>
      </c>
      <c r="C16" s="705">
        <f t="shared" si="0"/>
        <v>34.22</v>
      </c>
      <c r="D16" s="844">
        <v>1499</v>
      </c>
      <c r="E16" s="705">
        <f t="shared" si="1"/>
        <v>7.56</v>
      </c>
      <c r="F16" s="844">
        <v>2779</v>
      </c>
      <c r="G16" s="705">
        <f t="shared" si="7"/>
        <v>14.02</v>
      </c>
      <c r="H16" s="844">
        <v>1239</v>
      </c>
      <c r="I16" s="705">
        <f t="shared" si="2"/>
        <v>6.25</v>
      </c>
      <c r="J16" s="844">
        <v>14305</v>
      </c>
      <c r="K16" s="705">
        <f t="shared" si="3"/>
        <v>72.17</v>
      </c>
      <c r="L16" s="844">
        <v>14677</v>
      </c>
      <c r="M16" s="705">
        <f t="shared" si="4"/>
        <v>25.33</v>
      </c>
      <c r="N16" s="844">
        <v>5145</v>
      </c>
      <c r="O16" s="705">
        <f t="shared" si="5"/>
        <v>8.8800000000000008</v>
      </c>
      <c r="P16" s="844">
        <v>38110</v>
      </c>
      <c r="Q16" s="705">
        <f t="shared" si="6"/>
        <v>65.78</v>
      </c>
      <c r="R16" s="286">
        <f t="shared" si="8"/>
        <v>57932</v>
      </c>
    </row>
    <row r="17" spans="1:21" ht="18.75" customHeight="1">
      <c r="A17" s="278" t="s">
        <v>1383</v>
      </c>
      <c r="B17" s="844">
        <v>22929</v>
      </c>
      <c r="C17" s="705">
        <f t="shared" si="0"/>
        <v>35.11</v>
      </c>
      <c r="D17" s="844">
        <v>448</v>
      </c>
      <c r="E17" s="705">
        <f t="shared" si="1"/>
        <v>1.95</v>
      </c>
      <c r="F17" s="844">
        <v>698</v>
      </c>
      <c r="G17" s="705">
        <f t="shared" si="7"/>
        <v>3.04</v>
      </c>
      <c r="H17" s="844">
        <v>522</v>
      </c>
      <c r="I17" s="705">
        <f t="shared" si="2"/>
        <v>2.2799999999999998</v>
      </c>
      <c r="J17" s="844">
        <v>21261</v>
      </c>
      <c r="K17" s="705">
        <f t="shared" si="3"/>
        <v>92.73</v>
      </c>
      <c r="L17" s="844">
        <v>19230</v>
      </c>
      <c r="M17" s="705">
        <f t="shared" si="4"/>
        <v>29.45</v>
      </c>
      <c r="N17" s="844">
        <v>3699</v>
      </c>
      <c r="O17" s="705">
        <f t="shared" si="5"/>
        <v>5.66</v>
      </c>
      <c r="P17" s="844">
        <v>42377</v>
      </c>
      <c r="Q17" s="705">
        <f t="shared" si="6"/>
        <v>64.89</v>
      </c>
      <c r="R17" s="286">
        <f t="shared" si="8"/>
        <v>65306</v>
      </c>
    </row>
    <row r="18" spans="1:21" ht="18.75" customHeight="1">
      <c r="A18" s="1328" t="s">
        <v>1268</v>
      </c>
      <c r="B18" s="893">
        <f>SUM(B19:B24)</f>
        <v>320393</v>
      </c>
      <c r="C18" s="380">
        <f>ROUND(B18/$R18*100,2)</f>
        <v>33.380000000000003</v>
      </c>
      <c r="D18" s="893">
        <f>SUM(D19:D24)</f>
        <v>37131</v>
      </c>
      <c r="E18" s="380">
        <f t="shared" si="1"/>
        <v>11.59</v>
      </c>
      <c r="F18" s="893">
        <f>SUM(F19:F24)</f>
        <v>111003</v>
      </c>
      <c r="G18" s="380">
        <f>ROUND(F18/$B18*100,2)</f>
        <v>34.65</v>
      </c>
      <c r="H18" s="893">
        <f>SUM(H19:H24)</f>
        <v>11274</v>
      </c>
      <c r="I18" s="380">
        <f t="shared" si="2"/>
        <v>3.52</v>
      </c>
      <c r="J18" s="893">
        <f>SUM(J19:J24)</f>
        <v>160985</v>
      </c>
      <c r="K18" s="380">
        <f>ROUND(J18/B18*100,2)-0.01</f>
        <v>50.24</v>
      </c>
      <c r="L18" s="894">
        <f>SUM(L19:L24)</f>
        <v>186840</v>
      </c>
      <c r="M18" s="380">
        <f t="shared" si="4"/>
        <v>19.46</v>
      </c>
      <c r="N18" s="894">
        <f>SUM(N19:N24)</f>
        <v>133553</v>
      </c>
      <c r="O18" s="380">
        <f>ROUND(N18/$R18*100,2)+0.01</f>
        <v>13.92</v>
      </c>
      <c r="P18" s="894">
        <f>SUM(P19:P24)</f>
        <v>639541</v>
      </c>
      <c r="Q18" s="380">
        <f t="shared" si="6"/>
        <v>66.62</v>
      </c>
      <c r="R18" s="895">
        <f>SUM(R19:R24)</f>
        <v>959934</v>
      </c>
    </row>
    <row r="19" spans="1:21" ht="18.75" customHeight="1">
      <c r="A19" s="278" t="s">
        <v>1393</v>
      </c>
      <c r="B19" s="844">
        <v>74017</v>
      </c>
      <c r="C19" s="705">
        <f t="shared" si="0"/>
        <v>35.880000000000003</v>
      </c>
      <c r="D19" s="844">
        <v>8342</v>
      </c>
      <c r="E19" s="705">
        <f t="shared" si="1"/>
        <v>11.27</v>
      </c>
      <c r="F19" s="844">
        <v>25674</v>
      </c>
      <c r="G19" s="705">
        <f t="shared" ref="G19:G24" si="9">ROUND(F19/$B19*100,2)</f>
        <v>34.69</v>
      </c>
      <c r="H19" s="844">
        <v>3733</v>
      </c>
      <c r="I19" s="705">
        <f t="shared" si="2"/>
        <v>5.04</v>
      </c>
      <c r="J19" s="844">
        <v>36268</v>
      </c>
      <c r="K19" s="705">
        <f t="shared" si="3"/>
        <v>49</v>
      </c>
      <c r="L19" s="844">
        <v>40279</v>
      </c>
      <c r="M19" s="705">
        <f t="shared" si="4"/>
        <v>19.53</v>
      </c>
      <c r="N19" s="844">
        <v>33738</v>
      </c>
      <c r="O19" s="705">
        <f t="shared" si="5"/>
        <v>16.36</v>
      </c>
      <c r="P19" s="844">
        <v>132260</v>
      </c>
      <c r="Q19" s="705">
        <f t="shared" si="6"/>
        <v>64.12</v>
      </c>
      <c r="R19" s="286">
        <f t="shared" ref="R19:R24" si="10">SUM(L19,N19,P19)</f>
        <v>206277</v>
      </c>
      <c r="U19" s="147"/>
    </row>
    <row r="20" spans="1:21" ht="18.75" customHeight="1">
      <c r="A20" s="278" t="s">
        <v>1395</v>
      </c>
      <c r="B20" s="844">
        <v>66239</v>
      </c>
      <c r="C20" s="705">
        <f t="shared" si="0"/>
        <v>31.87</v>
      </c>
      <c r="D20" s="844">
        <v>9883</v>
      </c>
      <c r="E20" s="705">
        <f t="shared" si="1"/>
        <v>14.92</v>
      </c>
      <c r="F20" s="844">
        <v>29072</v>
      </c>
      <c r="G20" s="705">
        <f t="shared" si="9"/>
        <v>43.89</v>
      </c>
      <c r="H20" s="844">
        <v>2978</v>
      </c>
      <c r="I20" s="705">
        <f t="shared" si="2"/>
        <v>4.5</v>
      </c>
      <c r="J20" s="844">
        <v>24306</v>
      </c>
      <c r="K20" s="705">
        <f t="shared" si="3"/>
        <v>36.69</v>
      </c>
      <c r="L20" s="844">
        <v>32276</v>
      </c>
      <c r="M20" s="705">
        <f t="shared" si="4"/>
        <v>15.53</v>
      </c>
      <c r="N20" s="844">
        <v>33963</v>
      </c>
      <c r="O20" s="705">
        <f t="shared" si="5"/>
        <v>16.34</v>
      </c>
      <c r="P20" s="844">
        <v>141596</v>
      </c>
      <c r="Q20" s="705">
        <f t="shared" si="6"/>
        <v>68.13</v>
      </c>
      <c r="R20" s="286">
        <f t="shared" si="10"/>
        <v>207835</v>
      </c>
      <c r="U20" s="147"/>
    </row>
    <row r="21" spans="1:21" ht="18.75" customHeight="1">
      <c r="A21" s="278" t="s">
        <v>1396</v>
      </c>
      <c r="B21" s="844">
        <v>43002</v>
      </c>
      <c r="C21" s="705">
        <f t="shared" si="0"/>
        <v>34.9</v>
      </c>
      <c r="D21" s="844">
        <v>7806</v>
      </c>
      <c r="E21" s="705">
        <f t="shared" si="1"/>
        <v>18.149999999999999</v>
      </c>
      <c r="F21" s="844">
        <v>21641</v>
      </c>
      <c r="G21" s="705">
        <f t="shared" si="9"/>
        <v>50.33</v>
      </c>
      <c r="H21" s="844">
        <v>1041</v>
      </c>
      <c r="I21" s="705">
        <f t="shared" si="2"/>
        <v>2.42</v>
      </c>
      <c r="J21" s="844">
        <v>12514</v>
      </c>
      <c r="K21" s="705">
        <f t="shared" si="3"/>
        <v>29.1</v>
      </c>
      <c r="L21" s="844">
        <v>21574</v>
      </c>
      <c r="M21" s="705">
        <f t="shared" si="4"/>
        <v>17.510000000000002</v>
      </c>
      <c r="N21" s="844">
        <v>21428</v>
      </c>
      <c r="O21" s="705">
        <f t="shared" si="5"/>
        <v>17.39</v>
      </c>
      <c r="P21" s="844">
        <v>80217</v>
      </c>
      <c r="Q21" s="705">
        <f t="shared" si="6"/>
        <v>65.099999999999994</v>
      </c>
      <c r="R21" s="286">
        <f t="shared" si="10"/>
        <v>123219</v>
      </c>
      <c r="U21" s="147"/>
    </row>
    <row r="22" spans="1:21" ht="18.75" customHeight="1">
      <c r="A22" s="278" t="s">
        <v>1397</v>
      </c>
      <c r="B22" s="844">
        <v>40143</v>
      </c>
      <c r="C22" s="705">
        <f t="shared" si="0"/>
        <v>32.43</v>
      </c>
      <c r="D22" s="844">
        <v>3294</v>
      </c>
      <c r="E22" s="705">
        <f t="shared" si="1"/>
        <v>8.2100000000000009</v>
      </c>
      <c r="F22" s="844">
        <v>16364</v>
      </c>
      <c r="G22" s="705">
        <f t="shared" si="9"/>
        <v>40.76</v>
      </c>
      <c r="H22" s="844">
        <v>1183</v>
      </c>
      <c r="I22" s="705">
        <f t="shared" si="2"/>
        <v>2.95</v>
      </c>
      <c r="J22" s="844">
        <v>19302</v>
      </c>
      <c r="K22" s="705">
        <f t="shared" si="3"/>
        <v>48.08</v>
      </c>
      <c r="L22" s="844">
        <v>19775</v>
      </c>
      <c r="M22" s="705">
        <f t="shared" si="4"/>
        <v>15.98</v>
      </c>
      <c r="N22" s="844">
        <v>20368</v>
      </c>
      <c r="O22" s="705">
        <f t="shared" si="5"/>
        <v>16.45</v>
      </c>
      <c r="P22" s="844">
        <v>83641</v>
      </c>
      <c r="Q22" s="705">
        <f t="shared" si="6"/>
        <v>67.569999999999993</v>
      </c>
      <c r="R22" s="286">
        <f t="shared" si="10"/>
        <v>123784</v>
      </c>
      <c r="U22" s="147"/>
    </row>
    <row r="23" spans="1:21" ht="18.75" customHeight="1">
      <c r="A23" s="278" t="s">
        <v>1399</v>
      </c>
      <c r="B23" s="844">
        <v>35776</v>
      </c>
      <c r="C23" s="705">
        <f t="shared" si="0"/>
        <v>36.51</v>
      </c>
      <c r="D23" s="844">
        <v>5490</v>
      </c>
      <c r="E23" s="705">
        <f t="shared" si="1"/>
        <v>15.35</v>
      </c>
      <c r="F23" s="844">
        <v>13076</v>
      </c>
      <c r="G23" s="705">
        <f t="shared" si="9"/>
        <v>36.549999999999997</v>
      </c>
      <c r="H23" s="844">
        <v>1008</v>
      </c>
      <c r="I23" s="705">
        <f t="shared" si="2"/>
        <v>2.82</v>
      </c>
      <c r="J23" s="844">
        <v>16202</v>
      </c>
      <c r="K23" s="705">
        <f t="shared" si="3"/>
        <v>45.29</v>
      </c>
      <c r="L23" s="844">
        <v>22144</v>
      </c>
      <c r="M23" s="705">
        <f t="shared" si="4"/>
        <v>22.6</v>
      </c>
      <c r="N23" s="844">
        <v>13632</v>
      </c>
      <c r="O23" s="705">
        <f t="shared" si="5"/>
        <v>13.91</v>
      </c>
      <c r="P23" s="844">
        <v>62216</v>
      </c>
      <c r="Q23" s="705">
        <f t="shared" si="6"/>
        <v>63.49</v>
      </c>
      <c r="R23" s="286">
        <f t="shared" si="10"/>
        <v>97992</v>
      </c>
      <c r="U23" s="147"/>
    </row>
    <row r="24" spans="1:21" ht="18.75" customHeight="1">
      <c r="A24" s="283" t="s">
        <v>1400</v>
      </c>
      <c r="B24" s="845">
        <v>61216</v>
      </c>
      <c r="C24" s="883">
        <f t="shared" si="0"/>
        <v>30.48</v>
      </c>
      <c r="D24" s="845">
        <v>2316</v>
      </c>
      <c r="E24" s="883">
        <f t="shared" si="1"/>
        <v>3.78</v>
      </c>
      <c r="F24" s="845">
        <v>5176</v>
      </c>
      <c r="G24" s="883">
        <f t="shared" si="9"/>
        <v>8.4600000000000009</v>
      </c>
      <c r="H24" s="845">
        <v>1331</v>
      </c>
      <c r="I24" s="883">
        <f t="shared" si="2"/>
        <v>2.17</v>
      </c>
      <c r="J24" s="845">
        <v>52393</v>
      </c>
      <c r="K24" s="883">
        <f t="shared" si="3"/>
        <v>85.59</v>
      </c>
      <c r="L24" s="845">
        <v>50792</v>
      </c>
      <c r="M24" s="883">
        <f t="shared" si="4"/>
        <v>25.29</v>
      </c>
      <c r="N24" s="845">
        <v>10424</v>
      </c>
      <c r="O24" s="883">
        <f t="shared" si="5"/>
        <v>5.19</v>
      </c>
      <c r="P24" s="845">
        <v>139611</v>
      </c>
      <c r="Q24" s="883">
        <f t="shared" si="6"/>
        <v>69.52</v>
      </c>
      <c r="R24" s="491">
        <f t="shared" si="10"/>
        <v>200827</v>
      </c>
      <c r="U24" s="147"/>
    </row>
    <row r="25" spans="1:21" ht="18.75" customHeight="1">
      <c r="A25" s="1321"/>
      <c r="B25" s="877"/>
      <c r="C25" s="878"/>
      <c r="D25" s="877"/>
      <c r="E25" s="878"/>
      <c r="F25" s="877"/>
      <c r="G25" s="878"/>
      <c r="H25" s="596"/>
      <c r="I25" s="878"/>
      <c r="J25" s="597"/>
      <c r="K25" s="878"/>
      <c r="L25" s="597"/>
      <c r="M25" s="878"/>
      <c r="N25" s="597"/>
      <c r="O25" s="878"/>
      <c r="P25" s="597"/>
      <c r="Q25" s="878"/>
      <c r="R25" s="1143" t="s">
        <v>444</v>
      </c>
    </row>
    <row r="26" spans="1:21" ht="18.75" customHeight="1">
      <c r="A26" s="1321"/>
      <c r="B26" s="877"/>
      <c r="C26" s="878"/>
      <c r="D26" s="877"/>
      <c r="E26" s="878"/>
      <c r="F26" s="877"/>
      <c r="G26" s="878"/>
      <c r="H26" s="596"/>
      <c r="I26" s="878"/>
      <c r="J26" s="597"/>
      <c r="K26" s="878"/>
      <c r="L26" s="597"/>
      <c r="M26" s="878"/>
      <c r="N26" s="597"/>
      <c r="O26" s="878"/>
      <c r="P26" s="597"/>
      <c r="Q26" s="878"/>
      <c r="R26" s="1143"/>
    </row>
    <row r="27" spans="1:21" ht="18.75" customHeight="1">
      <c r="A27" s="1321"/>
      <c r="B27" s="877"/>
      <c r="C27" s="878"/>
      <c r="D27" s="877"/>
      <c r="E27" s="878"/>
      <c r="F27" s="877"/>
      <c r="G27" s="878"/>
      <c r="H27" s="596"/>
      <c r="I27" s="878"/>
      <c r="J27" s="597"/>
      <c r="K27" s="878"/>
      <c r="L27" s="597"/>
      <c r="M27" s="878"/>
      <c r="N27" s="597"/>
      <c r="O27" s="878"/>
      <c r="P27" s="597"/>
      <c r="Q27" s="878"/>
      <c r="R27" s="1143"/>
    </row>
    <row r="28" spans="1:21" ht="18.75" customHeight="1">
      <c r="A28" s="1825" t="s">
        <v>1290</v>
      </c>
      <c r="B28" s="1825"/>
      <c r="C28" s="1825"/>
      <c r="D28" s="1825"/>
      <c r="E28" s="1825"/>
      <c r="F28" s="1825"/>
      <c r="G28" s="1825"/>
      <c r="H28" s="1825"/>
      <c r="I28" s="1825"/>
      <c r="J28" s="1825"/>
      <c r="K28" s="1825"/>
      <c r="L28" s="1825"/>
      <c r="M28" s="1825"/>
      <c r="N28" s="1825"/>
      <c r="O28" s="1825"/>
      <c r="P28" s="1825"/>
      <c r="Q28" s="1825"/>
      <c r="R28" s="1825"/>
    </row>
    <row r="29" spans="1:21" ht="13.5" customHeight="1">
      <c r="A29" s="428"/>
      <c r="B29" s="428"/>
      <c r="C29" s="428"/>
      <c r="D29" s="428"/>
      <c r="E29" s="428"/>
      <c r="F29" s="428"/>
      <c r="G29" s="428"/>
      <c r="H29" s="428"/>
      <c r="I29" s="428"/>
      <c r="J29" s="428"/>
      <c r="K29" s="428"/>
      <c r="L29" s="428"/>
      <c r="N29" s="442"/>
      <c r="O29" s="442"/>
      <c r="P29" s="442"/>
      <c r="R29" s="1469" t="s">
        <v>244</v>
      </c>
    </row>
    <row r="30" spans="1:21" ht="29.25" customHeight="1">
      <c r="A30" s="1833" t="s">
        <v>168</v>
      </c>
      <c r="B30" s="1913" t="s">
        <v>1209</v>
      </c>
      <c r="C30" s="1914"/>
      <c r="D30" s="1915" t="s">
        <v>1093</v>
      </c>
      <c r="E30" s="1915"/>
      <c r="F30" s="1915"/>
      <c r="G30" s="1915"/>
      <c r="H30" s="1915"/>
      <c r="I30" s="1915"/>
      <c r="J30" s="1915"/>
      <c r="K30" s="1914"/>
      <c r="L30" s="1913" t="s">
        <v>825</v>
      </c>
      <c r="M30" s="1914"/>
      <c r="N30" s="1913" t="s">
        <v>826</v>
      </c>
      <c r="O30" s="1914"/>
      <c r="P30" s="1918" t="s">
        <v>921</v>
      </c>
      <c r="Q30" s="1914"/>
      <c r="R30" s="1833" t="s">
        <v>1098</v>
      </c>
    </row>
    <row r="31" spans="1:21" ht="24.75" customHeight="1">
      <c r="A31" s="1870"/>
      <c r="B31" s="1866" t="s">
        <v>902</v>
      </c>
      <c r="C31" s="1906" t="s">
        <v>1045</v>
      </c>
      <c r="D31" s="1916" t="s">
        <v>1092</v>
      </c>
      <c r="E31" s="1917"/>
      <c r="F31" s="1916" t="s">
        <v>1094</v>
      </c>
      <c r="G31" s="1917"/>
      <c r="H31" s="1916" t="s">
        <v>1097</v>
      </c>
      <c r="I31" s="1917"/>
      <c r="J31" s="1916" t="s">
        <v>1095</v>
      </c>
      <c r="K31" s="1917"/>
      <c r="L31" s="1866" t="s">
        <v>902</v>
      </c>
      <c r="M31" s="1906" t="s">
        <v>1045</v>
      </c>
      <c r="N31" s="1866" t="s">
        <v>902</v>
      </c>
      <c r="O31" s="1906" t="s">
        <v>1045</v>
      </c>
      <c r="P31" s="1866" t="s">
        <v>902</v>
      </c>
      <c r="Q31" s="1906" t="s">
        <v>1045</v>
      </c>
      <c r="R31" s="1870"/>
    </row>
    <row r="32" spans="1:21" ht="18.75" customHeight="1">
      <c r="A32" s="1834"/>
      <c r="B32" s="1860"/>
      <c r="C32" s="1907"/>
      <c r="D32" s="1166" t="s">
        <v>902</v>
      </c>
      <c r="E32" s="1167" t="s">
        <v>1091</v>
      </c>
      <c r="F32" s="1166" t="s">
        <v>902</v>
      </c>
      <c r="G32" s="1167" t="s">
        <v>1091</v>
      </c>
      <c r="H32" s="1166" t="s">
        <v>902</v>
      </c>
      <c r="I32" s="1167" t="s">
        <v>1091</v>
      </c>
      <c r="J32" s="1166" t="s">
        <v>902</v>
      </c>
      <c r="K32" s="1167" t="s">
        <v>1091</v>
      </c>
      <c r="L32" s="1860"/>
      <c r="M32" s="1907"/>
      <c r="N32" s="1860"/>
      <c r="O32" s="1907"/>
      <c r="P32" s="1860"/>
      <c r="Q32" s="1907"/>
      <c r="R32" s="1834"/>
    </row>
    <row r="33" spans="1:18" ht="18.75" customHeight="1">
      <c r="A33" s="453" t="s">
        <v>955</v>
      </c>
      <c r="B33" s="266" t="s">
        <v>956</v>
      </c>
      <c r="C33" s="528" t="s">
        <v>957</v>
      </c>
      <c r="D33" s="266" t="s">
        <v>958</v>
      </c>
      <c r="E33" s="528" t="s">
        <v>959</v>
      </c>
      <c r="F33" s="266" t="s">
        <v>961</v>
      </c>
      <c r="G33" s="528" t="s">
        <v>962</v>
      </c>
      <c r="H33" s="266" t="s">
        <v>990</v>
      </c>
      <c r="I33" s="528" t="s">
        <v>991</v>
      </c>
      <c r="J33" s="266" t="s">
        <v>992</v>
      </c>
      <c r="K33" s="528" t="s">
        <v>993</v>
      </c>
      <c r="L33" s="266" t="s">
        <v>1046</v>
      </c>
      <c r="M33" s="265" t="s">
        <v>1048</v>
      </c>
      <c r="N33" s="266" t="s">
        <v>1049</v>
      </c>
      <c r="O33" s="265" t="s">
        <v>1050</v>
      </c>
      <c r="P33" s="266" t="s">
        <v>1051</v>
      </c>
      <c r="Q33" s="265" t="s">
        <v>1052</v>
      </c>
      <c r="R33" s="265" t="s">
        <v>1054</v>
      </c>
    </row>
    <row r="34" spans="1:18" ht="18.75" customHeight="1">
      <c r="A34" s="389" t="s">
        <v>1266</v>
      </c>
      <c r="B34" s="317">
        <f>SUM(B35:B40)</f>
        <v>380619</v>
      </c>
      <c r="C34" s="380">
        <f t="shared" ref="C34:C51" si="11">ROUND(B34/$R34*100,2)</f>
        <v>39.69</v>
      </c>
      <c r="D34" s="317">
        <f>SUM(D35:D40)</f>
        <v>105978</v>
      </c>
      <c r="E34" s="380">
        <f t="shared" ref="E34:E51" si="12">ROUND(D34/$B34*100,2)</f>
        <v>27.84</v>
      </c>
      <c r="F34" s="317">
        <f>SUM(F35:F40)</f>
        <v>170830</v>
      </c>
      <c r="G34" s="380">
        <f>ROUND(F34/$B34*100,2)</f>
        <v>44.88</v>
      </c>
      <c r="H34" s="317">
        <f>SUM(H35:H40)</f>
        <v>22299</v>
      </c>
      <c r="I34" s="380">
        <f t="shared" ref="I34:I50" si="13">ROUND(H34/B34*100,2)</f>
        <v>5.86</v>
      </c>
      <c r="J34" s="893">
        <f>SUM(J35:J40)</f>
        <v>81512</v>
      </c>
      <c r="K34" s="380">
        <f t="shared" ref="K34:K51" si="14">ROUND(J34/B34*100,2)</f>
        <v>21.42</v>
      </c>
      <c r="L34" s="894">
        <f>SUM(L35:L40)</f>
        <v>222042</v>
      </c>
      <c r="M34" s="380">
        <f t="shared" ref="M34:M51" si="15">ROUND(L34/R34*100,2)</f>
        <v>23.15</v>
      </c>
      <c r="N34" s="317">
        <f>SUM(N35:N40)</f>
        <v>158577</v>
      </c>
      <c r="O34" s="380">
        <f t="shared" ref="O34:O51" si="16">ROUND(N34/$R34*100,2)</f>
        <v>16.54</v>
      </c>
      <c r="P34" s="317">
        <f>SUM(P35:P40)</f>
        <v>578320</v>
      </c>
      <c r="Q34" s="380">
        <f t="shared" ref="Q34:Q51" si="17">ROUND(P34/$R34*100,2)</f>
        <v>60.31</v>
      </c>
      <c r="R34" s="253">
        <f>P34+N34+L34</f>
        <v>958939</v>
      </c>
    </row>
    <row r="35" spans="1:18" ht="18.75" customHeight="1">
      <c r="A35" s="598" t="s">
        <v>1269</v>
      </c>
      <c r="B35" s="844">
        <v>73194</v>
      </c>
      <c r="C35" s="705">
        <f t="shared" si="11"/>
        <v>42.22</v>
      </c>
      <c r="D35" s="844">
        <v>23970</v>
      </c>
      <c r="E35" s="705">
        <f t="shared" si="12"/>
        <v>32.75</v>
      </c>
      <c r="F35" s="844">
        <v>31802</v>
      </c>
      <c r="G35" s="705">
        <f t="shared" ref="G35:G40" si="18">ROUND(F35/$B35*100,2)</f>
        <v>43.45</v>
      </c>
      <c r="H35" s="844">
        <v>5406</v>
      </c>
      <c r="I35" s="705">
        <f t="shared" si="13"/>
        <v>7.39</v>
      </c>
      <c r="J35" s="844">
        <v>12016</v>
      </c>
      <c r="K35" s="705">
        <f t="shared" si="14"/>
        <v>16.420000000000002</v>
      </c>
      <c r="L35" s="844">
        <v>42097</v>
      </c>
      <c r="M35" s="705">
        <f t="shared" si="15"/>
        <v>24.28</v>
      </c>
      <c r="N35" s="844">
        <v>31097</v>
      </c>
      <c r="O35" s="705">
        <f t="shared" si="16"/>
        <v>17.940000000000001</v>
      </c>
      <c r="P35" s="844">
        <v>100183</v>
      </c>
      <c r="Q35" s="705">
        <f t="shared" si="17"/>
        <v>57.78</v>
      </c>
      <c r="R35" s="286">
        <f t="shared" ref="R35:R40" si="19">SUM(L35,N35,P35)</f>
        <v>173377</v>
      </c>
    </row>
    <row r="36" spans="1:18" ht="18.75" customHeight="1">
      <c r="A36" s="598" t="s">
        <v>1270</v>
      </c>
      <c r="B36" s="844">
        <v>66729</v>
      </c>
      <c r="C36" s="705">
        <f t="shared" si="11"/>
        <v>38.119999999999997</v>
      </c>
      <c r="D36" s="844">
        <v>20625</v>
      </c>
      <c r="E36" s="705">
        <f t="shared" si="12"/>
        <v>30.91</v>
      </c>
      <c r="F36" s="844">
        <v>29750</v>
      </c>
      <c r="G36" s="705">
        <f t="shared" si="18"/>
        <v>44.58</v>
      </c>
      <c r="H36" s="844">
        <v>2713</v>
      </c>
      <c r="I36" s="705">
        <f t="shared" si="13"/>
        <v>4.07</v>
      </c>
      <c r="J36" s="844">
        <v>13641</v>
      </c>
      <c r="K36" s="705">
        <f t="shared" si="14"/>
        <v>20.440000000000001</v>
      </c>
      <c r="L36" s="844">
        <v>37915</v>
      </c>
      <c r="M36" s="705">
        <f t="shared" si="15"/>
        <v>21.66</v>
      </c>
      <c r="N36" s="844">
        <v>28814</v>
      </c>
      <c r="O36" s="705">
        <f t="shared" si="16"/>
        <v>16.46</v>
      </c>
      <c r="P36" s="844">
        <v>108327</v>
      </c>
      <c r="Q36" s="705">
        <f t="shared" si="17"/>
        <v>61.88</v>
      </c>
      <c r="R36" s="286">
        <f t="shared" si="19"/>
        <v>175056</v>
      </c>
    </row>
    <row r="37" spans="1:18" ht="18.75" customHeight="1">
      <c r="A37" s="598" t="s">
        <v>1412</v>
      </c>
      <c r="B37" s="844">
        <v>90406</v>
      </c>
      <c r="C37" s="705">
        <f t="shared" si="11"/>
        <v>38.56</v>
      </c>
      <c r="D37" s="844">
        <v>14351</v>
      </c>
      <c r="E37" s="705">
        <f t="shared" si="12"/>
        <v>15.87</v>
      </c>
      <c r="F37" s="844">
        <v>44280</v>
      </c>
      <c r="G37" s="705">
        <f t="shared" si="18"/>
        <v>48.98</v>
      </c>
      <c r="H37" s="844">
        <v>9260</v>
      </c>
      <c r="I37" s="705">
        <f t="shared" si="13"/>
        <v>10.24</v>
      </c>
      <c r="J37" s="844">
        <v>22515</v>
      </c>
      <c r="K37" s="705">
        <f t="shared" si="14"/>
        <v>24.9</v>
      </c>
      <c r="L37" s="844">
        <v>41707</v>
      </c>
      <c r="M37" s="705">
        <f t="shared" si="15"/>
        <v>17.79</v>
      </c>
      <c r="N37" s="844">
        <v>48699</v>
      </c>
      <c r="O37" s="705">
        <f t="shared" si="16"/>
        <v>20.77</v>
      </c>
      <c r="P37" s="844">
        <v>144026</v>
      </c>
      <c r="Q37" s="705">
        <f t="shared" si="17"/>
        <v>61.44</v>
      </c>
      <c r="R37" s="286">
        <f t="shared" si="19"/>
        <v>234432</v>
      </c>
    </row>
    <row r="38" spans="1:18" ht="18.75" customHeight="1">
      <c r="A38" s="598" t="s">
        <v>1413</v>
      </c>
      <c r="B38" s="844">
        <v>72979</v>
      </c>
      <c r="C38" s="705">
        <f t="shared" si="11"/>
        <v>43.66</v>
      </c>
      <c r="D38" s="844">
        <v>28306</v>
      </c>
      <c r="E38" s="705">
        <f t="shared" si="12"/>
        <v>38.79</v>
      </c>
      <c r="F38" s="844">
        <v>31586</v>
      </c>
      <c r="G38" s="705">
        <f t="shared" si="18"/>
        <v>43.28</v>
      </c>
      <c r="H38" s="844">
        <v>1791</v>
      </c>
      <c r="I38" s="705">
        <f t="shared" si="13"/>
        <v>2.4500000000000002</v>
      </c>
      <c r="J38" s="844">
        <v>11296</v>
      </c>
      <c r="K38" s="705">
        <f t="shared" si="14"/>
        <v>15.48</v>
      </c>
      <c r="L38" s="844">
        <v>47262</v>
      </c>
      <c r="M38" s="705">
        <f t="shared" si="15"/>
        <v>28.27</v>
      </c>
      <c r="N38" s="844">
        <v>25717</v>
      </c>
      <c r="O38" s="705">
        <f t="shared" si="16"/>
        <v>15.38</v>
      </c>
      <c r="P38" s="844">
        <v>94184</v>
      </c>
      <c r="Q38" s="705">
        <f t="shared" si="17"/>
        <v>56.34</v>
      </c>
      <c r="R38" s="286">
        <f t="shared" si="19"/>
        <v>167163</v>
      </c>
    </row>
    <row r="39" spans="1:18" ht="18.75" customHeight="1">
      <c r="A39" s="598" t="s">
        <v>1414</v>
      </c>
      <c r="B39" s="844">
        <v>67057</v>
      </c>
      <c r="C39" s="705">
        <f t="shared" si="11"/>
        <v>37.51</v>
      </c>
      <c r="D39" s="844">
        <v>16374</v>
      </c>
      <c r="E39" s="705">
        <f t="shared" si="12"/>
        <v>24.42</v>
      </c>
      <c r="F39" s="844">
        <v>31824</v>
      </c>
      <c r="G39" s="705">
        <f t="shared" si="18"/>
        <v>47.46</v>
      </c>
      <c r="H39" s="844">
        <v>2879</v>
      </c>
      <c r="I39" s="705">
        <f t="shared" si="13"/>
        <v>4.29</v>
      </c>
      <c r="J39" s="844">
        <v>15980</v>
      </c>
      <c r="K39" s="705">
        <f t="shared" si="14"/>
        <v>23.83</v>
      </c>
      <c r="L39" s="844">
        <v>43516</v>
      </c>
      <c r="M39" s="705">
        <f t="shared" si="15"/>
        <v>24.34</v>
      </c>
      <c r="N39" s="844">
        <v>23541</v>
      </c>
      <c r="O39" s="705">
        <f t="shared" si="16"/>
        <v>13.17</v>
      </c>
      <c r="P39" s="844">
        <v>111706</v>
      </c>
      <c r="Q39" s="705">
        <f t="shared" si="17"/>
        <v>62.49</v>
      </c>
      <c r="R39" s="286">
        <f t="shared" si="19"/>
        <v>178763</v>
      </c>
    </row>
    <row r="40" spans="1:18" ht="18.75" customHeight="1">
      <c r="A40" s="598" t="s">
        <v>1415</v>
      </c>
      <c r="B40" s="844">
        <v>10254</v>
      </c>
      <c r="C40" s="705">
        <f t="shared" si="11"/>
        <v>34.01</v>
      </c>
      <c r="D40" s="844">
        <v>2352</v>
      </c>
      <c r="E40" s="705">
        <f t="shared" si="12"/>
        <v>22.94</v>
      </c>
      <c r="F40" s="844">
        <v>1588</v>
      </c>
      <c r="G40" s="705">
        <f t="shared" si="18"/>
        <v>15.49</v>
      </c>
      <c r="H40" s="844">
        <v>250</v>
      </c>
      <c r="I40" s="705">
        <f t="shared" si="13"/>
        <v>2.44</v>
      </c>
      <c r="J40" s="844">
        <v>6064</v>
      </c>
      <c r="K40" s="705">
        <f t="shared" si="14"/>
        <v>59.14</v>
      </c>
      <c r="L40" s="844">
        <v>9545</v>
      </c>
      <c r="M40" s="705">
        <f t="shared" si="15"/>
        <v>31.66</v>
      </c>
      <c r="N40" s="844">
        <v>709</v>
      </c>
      <c r="O40" s="705">
        <f t="shared" si="16"/>
        <v>2.35</v>
      </c>
      <c r="P40" s="844">
        <v>19894</v>
      </c>
      <c r="Q40" s="705">
        <f t="shared" si="17"/>
        <v>65.989999999999995</v>
      </c>
      <c r="R40" s="286">
        <f t="shared" si="19"/>
        <v>30148</v>
      </c>
    </row>
    <row r="41" spans="1:18" ht="18.75" customHeight="1">
      <c r="A41" s="1329" t="s">
        <v>1271</v>
      </c>
      <c r="B41" s="317">
        <f>SUM(B42:B50)</f>
        <v>508502</v>
      </c>
      <c r="C41" s="380">
        <f t="shared" si="11"/>
        <v>36.71</v>
      </c>
      <c r="D41" s="317">
        <f>SUM(D42:D50)</f>
        <v>83239</v>
      </c>
      <c r="E41" s="380">
        <f t="shared" si="12"/>
        <v>16.37</v>
      </c>
      <c r="F41" s="317">
        <f>SUM(F42:F50)</f>
        <v>194024</v>
      </c>
      <c r="G41" s="380">
        <f>ROUND(F41/$B41*100,2)</f>
        <v>38.159999999999997</v>
      </c>
      <c r="H41" s="317">
        <f>SUM(H42:H50)</f>
        <v>20101</v>
      </c>
      <c r="I41" s="380">
        <f t="shared" si="13"/>
        <v>3.95</v>
      </c>
      <c r="J41" s="317">
        <f>SUM(J42:J50)</f>
        <v>211138</v>
      </c>
      <c r="K41" s="380">
        <f t="shared" si="14"/>
        <v>41.52</v>
      </c>
      <c r="L41" s="894">
        <f>SUM(L42:L50)</f>
        <v>289509</v>
      </c>
      <c r="M41" s="380">
        <f t="shared" si="15"/>
        <v>20.9</v>
      </c>
      <c r="N41" s="894">
        <f>SUM(N42:N50)</f>
        <v>218993</v>
      </c>
      <c r="O41" s="380">
        <f t="shared" si="16"/>
        <v>15.81</v>
      </c>
      <c r="P41" s="894">
        <f>SUM(P42:P50)</f>
        <v>876805</v>
      </c>
      <c r="Q41" s="380">
        <f t="shared" si="17"/>
        <v>63.29</v>
      </c>
      <c r="R41" s="307">
        <f>SUM(R42:R50)</f>
        <v>1385307</v>
      </c>
    </row>
    <row r="42" spans="1:18" ht="18.75" customHeight="1">
      <c r="A42" s="598" t="s">
        <v>1419</v>
      </c>
      <c r="B42" s="844">
        <v>50939</v>
      </c>
      <c r="C42" s="705">
        <f t="shared" si="11"/>
        <v>38.299999999999997</v>
      </c>
      <c r="D42" s="844">
        <v>6414</v>
      </c>
      <c r="E42" s="705">
        <f t="shared" si="12"/>
        <v>12.59</v>
      </c>
      <c r="F42" s="844">
        <v>23783</v>
      </c>
      <c r="G42" s="705">
        <f t="shared" ref="G42:G50" si="20">ROUND(F42/$B42*100,2)</f>
        <v>46.69</v>
      </c>
      <c r="H42" s="844">
        <v>2197</v>
      </c>
      <c r="I42" s="705">
        <f t="shared" si="13"/>
        <v>4.3099999999999996</v>
      </c>
      <c r="J42" s="844">
        <v>18545</v>
      </c>
      <c r="K42" s="705">
        <f t="shared" si="14"/>
        <v>36.409999999999997</v>
      </c>
      <c r="L42" s="844">
        <v>20416</v>
      </c>
      <c r="M42" s="705">
        <f t="shared" si="15"/>
        <v>15.35</v>
      </c>
      <c r="N42" s="844">
        <v>30523</v>
      </c>
      <c r="O42" s="705">
        <f t="shared" si="16"/>
        <v>22.95</v>
      </c>
      <c r="P42" s="844">
        <v>82053</v>
      </c>
      <c r="Q42" s="705">
        <f t="shared" si="17"/>
        <v>61.7</v>
      </c>
      <c r="R42" s="286">
        <f t="shared" ref="R42:R50" si="21">SUM(L42,N42,P42)</f>
        <v>132992</v>
      </c>
    </row>
    <row r="43" spans="1:18" ht="18.75" customHeight="1">
      <c r="A43" s="598" t="s">
        <v>1420</v>
      </c>
      <c r="B43" s="844">
        <v>47186</v>
      </c>
      <c r="C43" s="705">
        <f t="shared" si="11"/>
        <v>33.83</v>
      </c>
      <c r="D43" s="844">
        <v>9268</v>
      </c>
      <c r="E43" s="705">
        <f t="shared" si="12"/>
        <v>19.64</v>
      </c>
      <c r="F43" s="844">
        <v>17854</v>
      </c>
      <c r="G43" s="705">
        <f t="shared" si="20"/>
        <v>37.840000000000003</v>
      </c>
      <c r="H43" s="844">
        <v>1527</v>
      </c>
      <c r="I43" s="705">
        <f t="shared" si="13"/>
        <v>3.24</v>
      </c>
      <c r="J43" s="844">
        <v>18537</v>
      </c>
      <c r="K43" s="705">
        <f t="shared" si="14"/>
        <v>39.28</v>
      </c>
      <c r="L43" s="844">
        <v>27511</v>
      </c>
      <c r="M43" s="705">
        <f t="shared" si="15"/>
        <v>19.73</v>
      </c>
      <c r="N43" s="844">
        <v>19675</v>
      </c>
      <c r="O43" s="705">
        <f t="shared" si="16"/>
        <v>14.11</v>
      </c>
      <c r="P43" s="844">
        <v>92277</v>
      </c>
      <c r="Q43" s="705">
        <f t="shared" si="17"/>
        <v>66.17</v>
      </c>
      <c r="R43" s="286">
        <f t="shared" si="21"/>
        <v>139463</v>
      </c>
    </row>
    <row r="44" spans="1:18" ht="18.75" customHeight="1">
      <c r="A44" s="1330" t="s">
        <v>1422</v>
      </c>
      <c r="B44" s="844">
        <v>72651</v>
      </c>
      <c r="C44" s="705">
        <f t="shared" si="11"/>
        <v>37.81</v>
      </c>
      <c r="D44" s="844">
        <v>11825</v>
      </c>
      <c r="E44" s="705">
        <f t="shared" si="12"/>
        <v>16.28</v>
      </c>
      <c r="F44" s="844">
        <v>36595</v>
      </c>
      <c r="G44" s="705">
        <f t="shared" si="20"/>
        <v>50.37</v>
      </c>
      <c r="H44" s="844">
        <v>2451</v>
      </c>
      <c r="I44" s="705">
        <f t="shared" si="13"/>
        <v>3.37</v>
      </c>
      <c r="J44" s="844">
        <v>21780</v>
      </c>
      <c r="K44" s="705">
        <f t="shared" si="14"/>
        <v>29.98</v>
      </c>
      <c r="L44" s="844">
        <v>30274</v>
      </c>
      <c r="M44" s="705">
        <f t="shared" si="15"/>
        <v>15.75</v>
      </c>
      <c r="N44" s="844">
        <v>42377</v>
      </c>
      <c r="O44" s="705">
        <f t="shared" si="16"/>
        <v>22.05</v>
      </c>
      <c r="P44" s="844">
        <v>119511</v>
      </c>
      <c r="Q44" s="705">
        <f t="shared" si="17"/>
        <v>62.19</v>
      </c>
      <c r="R44" s="286">
        <f t="shared" si="21"/>
        <v>192162</v>
      </c>
    </row>
    <row r="45" spans="1:18" ht="18.75" customHeight="1">
      <c r="A45" s="598" t="s">
        <v>1423</v>
      </c>
      <c r="B45" s="844">
        <v>57491</v>
      </c>
      <c r="C45" s="705">
        <f t="shared" si="11"/>
        <v>34.36</v>
      </c>
      <c r="D45" s="844">
        <v>11277</v>
      </c>
      <c r="E45" s="705">
        <f t="shared" si="12"/>
        <v>19.62</v>
      </c>
      <c r="F45" s="844">
        <v>19699</v>
      </c>
      <c r="G45" s="705">
        <f t="shared" si="20"/>
        <v>34.26</v>
      </c>
      <c r="H45" s="844">
        <v>1460</v>
      </c>
      <c r="I45" s="705">
        <f t="shared" si="13"/>
        <v>2.54</v>
      </c>
      <c r="J45" s="844">
        <v>25055</v>
      </c>
      <c r="K45" s="705">
        <f t="shared" si="14"/>
        <v>43.58</v>
      </c>
      <c r="L45" s="844">
        <v>42278</v>
      </c>
      <c r="M45" s="705">
        <f t="shared" si="15"/>
        <v>25.27</v>
      </c>
      <c r="N45" s="844">
        <v>15213</v>
      </c>
      <c r="O45" s="705">
        <f t="shared" si="16"/>
        <v>9.09</v>
      </c>
      <c r="P45" s="844">
        <v>109839</v>
      </c>
      <c r="Q45" s="705">
        <f t="shared" si="17"/>
        <v>65.64</v>
      </c>
      <c r="R45" s="286">
        <f t="shared" si="21"/>
        <v>167330</v>
      </c>
    </row>
    <row r="46" spans="1:18" ht="18.75" customHeight="1">
      <c r="A46" s="598" t="s">
        <v>1425</v>
      </c>
      <c r="B46" s="844">
        <v>56751</v>
      </c>
      <c r="C46" s="705">
        <f t="shared" si="11"/>
        <v>36.369999999999997</v>
      </c>
      <c r="D46" s="844">
        <v>11372</v>
      </c>
      <c r="E46" s="705">
        <f t="shared" si="12"/>
        <v>20.04</v>
      </c>
      <c r="F46" s="844">
        <v>25788</v>
      </c>
      <c r="G46" s="705">
        <f t="shared" si="20"/>
        <v>45.44</v>
      </c>
      <c r="H46" s="844">
        <v>1162</v>
      </c>
      <c r="I46" s="705">
        <f t="shared" si="13"/>
        <v>2.0499999999999998</v>
      </c>
      <c r="J46" s="844">
        <v>18429</v>
      </c>
      <c r="K46" s="705">
        <f t="shared" si="14"/>
        <v>32.47</v>
      </c>
      <c r="L46" s="844">
        <v>32993</v>
      </c>
      <c r="M46" s="705">
        <f t="shared" si="15"/>
        <v>21.14</v>
      </c>
      <c r="N46" s="844">
        <v>23758</v>
      </c>
      <c r="O46" s="705">
        <f t="shared" si="16"/>
        <v>15.22</v>
      </c>
      <c r="P46" s="844">
        <v>99303</v>
      </c>
      <c r="Q46" s="705">
        <f t="shared" si="17"/>
        <v>63.63</v>
      </c>
      <c r="R46" s="286">
        <f t="shared" si="21"/>
        <v>156054</v>
      </c>
    </row>
    <row r="47" spans="1:18" ht="18.75" customHeight="1">
      <c r="A47" s="598" t="s">
        <v>1426</v>
      </c>
      <c r="B47" s="844">
        <v>61698</v>
      </c>
      <c r="C47" s="705">
        <f t="shared" si="11"/>
        <v>36.1</v>
      </c>
      <c r="D47" s="844">
        <v>9235</v>
      </c>
      <c r="E47" s="705">
        <f t="shared" si="12"/>
        <v>14.97</v>
      </c>
      <c r="F47" s="844">
        <v>23192</v>
      </c>
      <c r="G47" s="705">
        <f t="shared" si="20"/>
        <v>37.590000000000003</v>
      </c>
      <c r="H47" s="844">
        <v>2764</v>
      </c>
      <c r="I47" s="705">
        <f t="shared" si="13"/>
        <v>4.4800000000000004</v>
      </c>
      <c r="J47" s="844">
        <v>26507</v>
      </c>
      <c r="K47" s="705">
        <f t="shared" si="14"/>
        <v>42.96</v>
      </c>
      <c r="L47" s="844">
        <v>37543</v>
      </c>
      <c r="M47" s="705">
        <f t="shared" si="15"/>
        <v>21.97</v>
      </c>
      <c r="N47" s="844">
        <v>24155</v>
      </c>
      <c r="O47" s="705">
        <f t="shared" si="16"/>
        <v>14.13</v>
      </c>
      <c r="P47" s="844">
        <v>109196</v>
      </c>
      <c r="Q47" s="705">
        <f t="shared" si="17"/>
        <v>63.9</v>
      </c>
      <c r="R47" s="286">
        <f t="shared" si="21"/>
        <v>170894</v>
      </c>
    </row>
    <row r="48" spans="1:18" ht="18.75" customHeight="1">
      <c r="A48" s="1332" t="s">
        <v>263</v>
      </c>
      <c r="B48" s="844">
        <v>66415</v>
      </c>
      <c r="C48" s="705">
        <f t="shared" si="11"/>
        <v>37.65</v>
      </c>
      <c r="D48" s="844">
        <v>10925</v>
      </c>
      <c r="E48" s="705">
        <f t="shared" si="12"/>
        <v>16.45</v>
      </c>
      <c r="F48" s="844">
        <v>24393</v>
      </c>
      <c r="G48" s="705">
        <f t="shared" si="20"/>
        <v>36.729999999999997</v>
      </c>
      <c r="H48" s="844">
        <v>3104</v>
      </c>
      <c r="I48" s="705">
        <f t="shared" si="13"/>
        <v>4.67</v>
      </c>
      <c r="J48" s="844">
        <v>27993</v>
      </c>
      <c r="K48" s="705">
        <f t="shared" si="14"/>
        <v>42.15</v>
      </c>
      <c r="L48" s="844">
        <v>34962</v>
      </c>
      <c r="M48" s="705">
        <f t="shared" si="15"/>
        <v>19.82</v>
      </c>
      <c r="N48" s="844">
        <v>31453</v>
      </c>
      <c r="O48" s="705">
        <f t="shared" si="16"/>
        <v>17.829999999999998</v>
      </c>
      <c r="P48" s="844">
        <v>109978</v>
      </c>
      <c r="Q48" s="705">
        <f t="shared" si="17"/>
        <v>62.35</v>
      </c>
      <c r="R48" s="286">
        <f t="shared" si="21"/>
        <v>176393</v>
      </c>
    </row>
    <row r="49" spans="1:18" ht="18.75" customHeight="1">
      <c r="A49" s="598" t="s">
        <v>1429</v>
      </c>
      <c r="B49" s="844">
        <v>65156</v>
      </c>
      <c r="C49" s="705">
        <f t="shared" si="11"/>
        <v>41.29</v>
      </c>
      <c r="D49" s="844">
        <v>12498</v>
      </c>
      <c r="E49" s="705">
        <f t="shared" si="12"/>
        <v>19.18</v>
      </c>
      <c r="F49" s="844">
        <v>22112</v>
      </c>
      <c r="G49" s="705">
        <f t="shared" si="20"/>
        <v>33.94</v>
      </c>
      <c r="H49" s="844">
        <v>4678</v>
      </c>
      <c r="I49" s="705">
        <f t="shared" si="13"/>
        <v>7.18</v>
      </c>
      <c r="J49" s="844">
        <v>25868</v>
      </c>
      <c r="K49" s="705">
        <f t="shared" si="14"/>
        <v>39.700000000000003</v>
      </c>
      <c r="L49" s="844">
        <v>37036</v>
      </c>
      <c r="M49" s="705">
        <f t="shared" si="15"/>
        <v>23.47</v>
      </c>
      <c r="N49" s="844">
        <v>28120</v>
      </c>
      <c r="O49" s="705">
        <f t="shared" si="16"/>
        <v>17.82</v>
      </c>
      <c r="P49" s="844">
        <v>92637</v>
      </c>
      <c r="Q49" s="705">
        <f t="shared" si="17"/>
        <v>58.71</v>
      </c>
      <c r="R49" s="286">
        <f t="shared" si="21"/>
        <v>157793</v>
      </c>
    </row>
    <row r="50" spans="1:18" ht="18.75" customHeight="1">
      <c r="A50" s="598" t="s">
        <v>1427</v>
      </c>
      <c r="B50" s="844">
        <v>30215</v>
      </c>
      <c r="C50" s="705">
        <f t="shared" si="11"/>
        <v>32.76</v>
      </c>
      <c r="D50" s="844">
        <v>425</v>
      </c>
      <c r="E50" s="705">
        <f t="shared" si="12"/>
        <v>1.41</v>
      </c>
      <c r="F50" s="844">
        <v>608</v>
      </c>
      <c r="G50" s="705">
        <f t="shared" si="20"/>
        <v>2.0099999999999998</v>
      </c>
      <c r="H50" s="844">
        <v>758</v>
      </c>
      <c r="I50" s="705">
        <f t="shared" si="13"/>
        <v>2.5099999999999998</v>
      </c>
      <c r="J50" s="844">
        <v>28424</v>
      </c>
      <c r="K50" s="705">
        <f t="shared" si="14"/>
        <v>94.07</v>
      </c>
      <c r="L50" s="844">
        <v>26496</v>
      </c>
      <c r="M50" s="705">
        <f t="shared" si="15"/>
        <v>28.73</v>
      </c>
      <c r="N50" s="844">
        <v>3719</v>
      </c>
      <c r="O50" s="705">
        <f t="shared" si="16"/>
        <v>4.03</v>
      </c>
      <c r="P50" s="844">
        <v>62011</v>
      </c>
      <c r="Q50" s="705">
        <f t="shared" si="17"/>
        <v>67.239999999999995</v>
      </c>
      <c r="R50" s="286">
        <f t="shared" si="21"/>
        <v>92226</v>
      </c>
    </row>
    <row r="51" spans="1:18" ht="18.75" customHeight="1">
      <c r="A51" s="275" t="s">
        <v>398</v>
      </c>
      <c r="B51" s="276">
        <f>SUM(B8,B18,B34,B41)</f>
        <v>1910320</v>
      </c>
      <c r="C51" s="383">
        <f t="shared" si="11"/>
        <v>37.49</v>
      </c>
      <c r="D51" s="276">
        <f>SUM(D8,D18,D34,D41)</f>
        <v>345215</v>
      </c>
      <c r="E51" s="383">
        <f t="shared" si="12"/>
        <v>18.07</v>
      </c>
      <c r="F51" s="276">
        <f>SUM(F8,F18,F34,F41)</f>
        <v>702304</v>
      </c>
      <c r="G51" s="383">
        <f>ROUND(F51/$B51*100,2)</f>
        <v>36.76</v>
      </c>
      <c r="H51" s="276">
        <f>SUM(H8,H18,H34,H41)</f>
        <v>118816</v>
      </c>
      <c r="I51" s="383">
        <f>ROUND(H51/B51*100,2)</f>
        <v>6.22</v>
      </c>
      <c r="J51" s="276">
        <f>SUM(J8,J18,J34,J41)</f>
        <v>743985</v>
      </c>
      <c r="K51" s="383">
        <f t="shared" si="14"/>
        <v>38.950000000000003</v>
      </c>
      <c r="L51" s="276">
        <f>SUM(L8,L18,L34,L41)</f>
        <v>1127312</v>
      </c>
      <c r="M51" s="383">
        <f t="shared" si="15"/>
        <v>22.12</v>
      </c>
      <c r="N51" s="276">
        <f>SUM(N8,N18,N34,N41)</f>
        <v>783008</v>
      </c>
      <c r="O51" s="383">
        <f t="shared" si="16"/>
        <v>15.37</v>
      </c>
      <c r="P51" s="276">
        <f>SUM(P8,P18,P34,P41)</f>
        <v>3185555</v>
      </c>
      <c r="Q51" s="383">
        <f t="shared" si="17"/>
        <v>62.51</v>
      </c>
      <c r="R51" s="275">
        <f>SUM(R8,R18,R34,R41)</f>
        <v>5095875</v>
      </c>
    </row>
    <row r="52" spans="1:18" ht="15" customHeight="1">
      <c r="A52" s="1911" t="s">
        <v>118</v>
      </c>
      <c r="B52" s="1911"/>
      <c r="C52" s="1911"/>
      <c r="D52" s="1911"/>
      <c r="E52" s="1911"/>
      <c r="F52" s="1911"/>
      <c r="H52" s="1331" t="s">
        <v>311</v>
      </c>
      <c r="P52" s="1333"/>
      <c r="Q52" s="1331" t="s">
        <v>640</v>
      </c>
    </row>
    <row r="53" spans="1:18" ht="12.75" customHeight="1">
      <c r="A53" s="1912" t="s">
        <v>645</v>
      </c>
      <c r="B53" s="1912"/>
      <c r="C53" s="1912"/>
      <c r="D53" s="1912"/>
      <c r="E53" s="1912"/>
      <c r="F53" s="1912"/>
    </row>
    <row r="54" spans="1:18" ht="14.25" customHeight="1">
      <c r="A54" s="1912" t="s">
        <v>646</v>
      </c>
      <c r="B54" s="1912"/>
      <c r="C54" s="1912"/>
      <c r="D54" s="1912"/>
      <c r="E54" s="1912"/>
      <c r="F54" s="1912"/>
    </row>
    <row r="55" spans="1:18" ht="18.75" customHeight="1">
      <c r="A55" s="1920"/>
      <c r="B55" s="1920"/>
      <c r="C55" s="1920"/>
      <c r="D55" s="1920"/>
      <c r="E55" s="1920"/>
      <c r="F55" s="1920"/>
    </row>
    <row r="57" spans="1:18" ht="18.75" customHeight="1">
      <c r="J57" s="1334"/>
    </row>
    <row r="63" spans="1:18" ht="18.75" customHeight="1">
      <c r="H63" s="147"/>
    </row>
  </sheetData>
  <mergeCells count="46">
    <mergeCell ref="A55:F55"/>
    <mergeCell ref="M31:M32"/>
    <mergeCell ref="N31:N32"/>
    <mergeCell ref="C31:C32"/>
    <mergeCell ref="D31:E31"/>
    <mergeCell ref="F31:G31"/>
    <mergeCell ref="H31:I31"/>
    <mergeCell ref="J31:K31"/>
    <mergeCell ref="L31:L32"/>
    <mergeCell ref="B31:B32"/>
    <mergeCell ref="A30:A32"/>
    <mergeCell ref="B30:C30"/>
    <mergeCell ref="D30:K30"/>
    <mergeCell ref="P31:P32"/>
    <mergeCell ref="N30:O30"/>
    <mergeCell ref="L4:M4"/>
    <mergeCell ref="P4:Q4"/>
    <mergeCell ref="O3:R3"/>
    <mergeCell ref="R4:R6"/>
    <mergeCell ref="L5:L6"/>
    <mergeCell ref="R30:R32"/>
    <mergeCell ref="Q31:Q32"/>
    <mergeCell ref="O31:O32"/>
    <mergeCell ref="L30:M30"/>
    <mergeCell ref="Q5:Q6"/>
    <mergeCell ref="B5:B6"/>
    <mergeCell ref="M5:M6"/>
    <mergeCell ref="N5:N6"/>
    <mergeCell ref="O5:O6"/>
    <mergeCell ref="P5:P6"/>
    <mergeCell ref="A2:R2"/>
    <mergeCell ref="A52:F52"/>
    <mergeCell ref="A54:F54"/>
    <mergeCell ref="A53:F53"/>
    <mergeCell ref="A1:R1"/>
    <mergeCell ref="C5:C6"/>
    <mergeCell ref="A4:A6"/>
    <mergeCell ref="N4:O4"/>
    <mergeCell ref="D4:K4"/>
    <mergeCell ref="B4:C4"/>
    <mergeCell ref="H5:I5"/>
    <mergeCell ref="A28:R28"/>
    <mergeCell ref="D5:E5"/>
    <mergeCell ref="P30:Q30"/>
    <mergeCell ref="J5:K5"/>
    <mergeCell ref="F5:G5"/>
  </mergeCells>
  <phoneticPr fontId="0" type="noConversion"/>
  <printOptions horizontalCentered="1"/>
  <pageMargins left="0.25" right="0.1" top="0.53" bottom="0.1" header="0.47" footer="0.1"/>
  <pageSetup paperSize="9" orientation="landscape" blackAndWhite="1" r:id="rId1"/>
  <headerFooter alignWithMargins="0"/>
  <rowBreaks count="1" manualBreakCount="1">
    <brk id="25" max="16383" man="1"/>
  </rowBreaks>
</worksheet>
</file>

<file path=xl/worksheets/sheet18.xml><?xml version="1.0" encoding="utf-8"?>
<worksheet xmlns="http://schemas.openxmlformats.org/spreadsheetml/2006/main" xmlns:r="http://schemas.openxmlformats.org/officeDocument/2006/relationships">
  <sheetPr codeName="Sheet45"/>
  <dimension ref="A1:J47"/>
  <sheetViews>
    <sheetView workbookViewId="0">
      <selection activeCell="A3" sqref="A3:C4"/>
    </sheetView>
  </sheetViews>
  <sheetFormatPr defaultRowHeight="12.75"/>
  <cols>
    <col min="1" max="1" width="2.28515625" style="1" customWidth="1"/>
    <col min="2" max="2" width="2.7109375" style="1" customWidth="1"/>
    <col min="3" max="3" width="28.28515625" style="1" customWidth="1"/>
    <col min="4" max="6" width="12.28515625" style="1" customWidth="1"/>
    <col min="7" max="7" width="13.85546875" style="1" customWidth="1"/>
    <col min="8" max="16384" width="9.140625" style="1"/>
  </cols>
  <sheetData>
    <row r="1" spans="1:10" ht="17.25" customHeight="1">
      <c r="A1" s="1884" t="s">
        <v>801</v>
      </c>
      <c r="B1" s="1884"/>
      <c r="C1" s="1884"/>
      <c r="D1" s="1884"/>
      <c r="E1" s="1884"/>
      <c r="F1" s="1884"/>
      <c r="G1" s="1884"/>
    </row>
    <row r="2" spans="1:10" ht="36" customHeight="1">
      <c r="A2" s="1853" t="str">
        <f>CONCATENATE("Distribution of Population over different categories of workers and 
non-workers by sex in the district of ",District!$A$1,", 2011")</f>
        <v>Distribution of Population over different categories of workers and 
non-workers by sex in the district of Purba Medinipur, 2011</v>
      </c>
      <c r="B2" s="1853"/>
      <c r="C2" s="1853"/>
      <c r="D2" s="1853"/>
      <c r="E2" s="1853"/>
      <c r="F2" s="1853"/>
      <c r="G2" s="1853"/>
    </row>
    <row r="3" spans="1:10" ht="24.75" customHeight="1">
      <c r="A3" s="1929" t="s">
        <v>1099</v>
      </c>
      <c r="B3" s="1930"/>
      <c r="C3" s="1931"/>
      <c r="D3" s="1869" t="s">
        <v>902</v>
      </c>
      <c r="E3" s="1939"/>
      <c r="F3" s="1905"/>
      <c r="G3" s="1833" t="s">
        <v>1022</v>
      </c>
      <c r="H3" s="8"/>
      <c r="I3" s="8"/>
      <c r="J3" s="8"/>
    </row>
    <row r="4" spans="1:10" ht="18" customHeight="1">
      <c r="A4" s="1932"/>
      <c r="B4" s="1933"/>
      <c r="C4" s="1868"/>
      <c r="D4" s="413" t="s">
        <v>1040</v>
      </c>
      <c r="E4" s="739" t="s">
        <v>1041</v>
      </c>
      <c r="F4" s="413" t="s">
        <v>979</v>
      </c>
      <c r="G4" s="1834"/>
      <c r="H4" s="8"/>
      <c r="I4" s="8"/>
      <c r="J4" s="8"/>
    </row>
    <row r="5" spans="1:10" ht="15" customHeight="1">
      <c r="A5" s="1936" t="s">
        <v>955</v>
      </c>
      <c r="B5" s="1937"/>
      <c r="C5" s="1938"/>
      <c r="D5" s="709" t="s">
        <v>956</v>
      </c>
      <c r="E5" s="1012" t="s">
        <v>957</v>
      </c>
      <c r="F5" s="709" t="s">
        <v>958</v>
      </c>
      <c r="G5" s="1012" t="s">
        <v>959</v>
      </c>
      <c r="H5" s="8"/>
      <c r="I5" s="8"/>
      <c r="J5" s="8"/>
    </row>
    <row r="6" spans="1:10" ht="15.75" customHeight="1">
      <c r="A6" s="541" t="s">
        <v>1100</v>
      </c>
      <c r="B6" s="1343" t="s">
        <v>1101</v>
      </c>
      <c r="C6" s="1336"/>
      <c r="D6" s="46"/>
      <c r="E6" s="110"/>
      <c r="F6" s="46"/>
      <c r="G6" s="110"/>
      <c r="H6" s="8"/>
      <c r="I6" s="8"/>
      <c r="J6" s="8"/>
    </row>
    <row r="7" spans="1:10" ht="15.75" customHeight="1">
      <c r="A7" s="1927" t="s">
        <v>1102</v>
      </c>
      <c r="B7" s="1924"/>
      <c r="C7" s="1339" t="s">
        <v>1107</v>
      </c>
      <c r="D7" s="46"/>
      <c r="E7" s="110"/>
      <c r="F7" s="46"/>
      <c r="G7" s="110"/>
      <c r="H7" s="8"/>
      <c r="I7" s="8"/>
      <c r="J7" s="8"/>
    </row>
    <row r="8" spans="1:10" ht="15.75" customHeight="1">
      <c r="A8" s="1921"/>
      <c r="B8" s="1922"/>
      <c r="C8" s="1340" t="s">
        <v>1043</v>
      </c>
      <c r="D8" s="1337">
        <v>863546</v>
      </c>
      <c r="E8" s="1337">
        <v>108055</v>
      </c>
      <c r="F8" s="46">
        <f>SUM(D8:E8)</f>
        <v>971601</v>
      </c>
      <c r="G8" s="142">
        <f>ROUND(F8/F20*100,2)</f>
        <v>21.58</v>
      </c>
      <c r="H8" s="8"/>
      <c r="I8" s="8"/>
      <c r="J8" s="8"/>
    </row>
    <row r="9" spans="1:10" ht="15.75" customHeight="1">
      <c r="A9" s="1921"/>
      <c r="B9" s="1922"/>
      <c r="C9" s="1341" t="s">
        <v>1042</v>
      </c>
      <c r="D9" s="1337">
        <v>136657</v>
      </c>
      <c r="E9" s="1337">
        <v>19054</v>
      </c>
      <c r="F9" s="46">
        <f>SUM(D9:E9)</f>
        <v>155711</v>
      </c>
      <c r="G9" s="142">
        <f>ROUND(F9/F21*100,2)</f>
        <v>26.27</v>
      </c>
      <c r="H9" s="8"/>
      <c r="I9" s="8"/>
      <c r="J9" s="8"/>
    </row>
    <row r="10" spans="1:10" ht="15.75" customHeight="1">
      <c r="A10" s="1921"/>
      <c r="B10" s="1922"/>
      <c r="C10" s="1383" t="s">
        <v>1108</v>
      </c>
      <c r="D10" s="1384">
        <f>SUM(D8:D9)</f>
        <v>1000203</v>
      </c>
      <c r="E10" s="1384">
        <f>SUM(E8:E9)</f>
        <v>127109</v>
      </c>
      <c r="F10" s="507">
        <f>SUM(F8:F9)</f>
        <v>1127312</v>
      </c>
      <c r="G10" s="758">
        <f>ROUND(F10/F22*100,2)</f>
        <v>22.12</v>
      </c>
      <c r="H10" s="8"/>
      <c r="I10" s="8"/>
      <c r="J10" s="8"/>
    </row>
    <row r="11" spans="1:10" ht="15.75" customHeight="1">
      <c r="A11" s="1927" t="s">
        <v>1109</v>
      </c>
      <c r="B11" s="1924"/>
      <c r="C11" s="1339" t="s">
        <v>1110</v>
      </c>
      <c r="D11" s="110"/>
      <c r="E11" s="110"/>
      <c r="F11" s="102"/>
      <c r="G11" s="110"/>
      <c r="H11" s="77"/>
      <c r="I11" s="8"/>
      <c r="J11" s="8"/>
    </row>
    <row r="12" spans="1:10" ht="15.75" customHeight="1">
      <c r="A12" s="1921"/>
      <c r="B12" s="1922"/>
      <c r="C12" s="1340" t="s">
        <v>1043</v>
      </c>
      <c r="D12" s="120">
        <v>487175</v>
      </c>
      <c r="E12" s="120">
        <v>257033</v>
      </c>
      <c r="F12" s="46">
        <f>SUM(D12:E12)</f>
        <v>744208</v>
      </c>
      <c r="G12" s="142">
        <f>ROUND(F12/F20*100,2)</f>
        <v>16.53</v>
      </c>
      <c r="H12" s="8"/>
      <c r="I12" s="8"/>
      <c r="J12" s="8"/>
    </row>
    <row r="13" spans="1:10" ht="15.75" customHeight="1">
      <c r="A13" s="1921"/>
      <c r="B13" s="1922"/>
      <c r="C13" s="1341" t="s">
        <v>1042</v>
      </c>
      <c r="D13" s="120">
        <v>28718</v>
      </c>
      <c r="E13" s="120">
        <v>10082</v>
      </c>
      <c r="F13" s="46">
        <f>SUM(D13:E13)</f>
        <v>38800</v>
      </c>
      <c r="G13" s="142">
        <f>ROUND(F13/F21*100,2)</f>
        <v>6.55</v>
      </c>
      <c r="H13" s="8"/>
      <c r="I13" s="8"/>
      <c r="J13" s="8"/>
    </row>
    <row r="14" spans="1:10" ht="15.75" customHeight="1">
      <c r="A14" s="1921"/>
      <c r="B14" s="1922"/>
      <c r="C14" s="1383" t="s">
        <v>1108</v>
      </c>
      <c r="D14" s="1384">
        <f>SUM(D12:D13)</f>
        <v>515893</v>
      </c>
      <c r="E14" s="1384">
        <f>SUM(E12:E13)</f>
        <v>267115</v>
      </c>
      <c r="F14" s="507">
        <f>SUM(F12:F13)</f>
        <v>783008</v>
      </c>
      <c r="G14" s="758">
        <f>ROUND(F14/F$22*100,2)</f>
        <v>15.37</v>
      </c>
      <c r="H14" s="8"/>
      <c r="I14" s="8"/>
      <c r="J14" s="8"/>
    </row>
    <row r="15" spans="1:10" ht="15.75" customHeight="1">
      <c r="A15" s="1342" t="s">
        <v>1111</v>
      </c>
      <c r="B15" s="1343" t="s">
        <v>1112</v>
      </c>
      <c r="C15" s="1344"/>
      <c r="D15" s="110"/>
      <c r="E15" s="110"/>
      <c r="F15" s="102"/>
      <c r="G15" s="142"/>
      <c r="H15" s="8"/>
      <c r="I15" s="8"/>
      <c r="J15" s="8"/>
    </row>
    <row r="16" spans="1:10" ht="15.75" customHeight="1">
      <c r="A16" s="1921"/>
      <c r="B16" s="1922"/>
      <c r="C16" s="1340" t="s">
        <v>1043</v>
      </c>
      <c r="D16" s="1337">
        <v>971841</v>
      </c>
      <c r="E16" s="1337">
        <v>1815511</v>
      </c>
      <c r="F16" s="102">
        <f>SUM(D16:E16)</f>
        <v>2787352</v>
      </c>
      <c r="G16" s="107">
        <f>ROUND(F16/F$20*100,2)-0.01</f>
        <v>61.89</v>
      </c>
      <c r="H16" s="8"/>
      <c r="I16" s="8"/>
      <c r="J16" s="8"/>
    </row>
    <row r="17" spans="1:10" ht="15.75" customHeight="1">
      <c r="A17" s="1921"/>
      <c r="B17" s="1922"/>
      <c r="C17" s="1341" t="s">
        <v>1042</v>
      </c>
      <c r="D17" s="1337">
        <v>141897</v>
      </c>
      <c r="E17" s="1337">
        <v>256306</v>
      </c>
      <c r="F17" s="102">
        <f>SUM(D17:E17)</f>
        <v>398203</v>
      </c>
      <c r="G17" s="107">
        <f>ROUND(F17/F21*100,2)</f>
        <v>67.180000000000007</v>
      </c>
      <c r="H17" s="8"/>
      <c r="I17" s="8"/>
      <c r="J17" s="8"/>
    </row>
    <row r="18" spans="1:10" ht="15.75" customHeight="1">
      <c r="A18" s="1921"/>
      <c r="B18" s="1922"/>
      <c r="C18" s="1383" t="s">
        <v>1108</v>
      </c>
      <c r="D18" s="1384">
        <f>SUM(D16:D17)</f>
        <v>1113738</v>
      </c>
      <c r="E18" s="1384">
        <f>SUM(E16:E17)</f>
        <v>2071817</v>
      </c>
      <c r="F18" s="548">
        <f>SUM(F16:F17)</f>
        <v>3185555</v>
      </c>
      <c r="G18" s="1385">
        <f>ROUND(F18/F22*100,2)</f>
        <v>62.51</v>
      </c>
      <c r="H18" s="8"/>
      <c r="I18" s="8"/>
      <c r="J18" s="8"/>
    </row>
    <row r="19" spans="1:10" ht="15.75" customHeight="1">
      <c r="A19" s="1338" t="s">
        <v>249</v>
      </c>
      <c r="B19" s="1345"/>
      <c r="C19" s="1340"/>
      <c r="D19" s="110"/>
      <c r="E19" s="110"/>
      <c r="F19" s="102"/>
      <c r="G19" s="107"/>
      <c r="H19" s="8"/>
      <c r="I19" s="8"/>
      <c r="J19" s="8"/>
    </row>
    <row r="20" spans="1:10" ht="15.75" customHeight="1">
      <c r="A20" s="1921"/>
      <c r="B20" s="1922"/>
      <c r="C20" s="1340" t="s">
        <v>1043</v>
      </c>
      <c r="D20" s="110">
        <f t="shared" ref="D20:G22" si="0">SUM(D8,D12,D16)</f>
        <v>2322562</v>
      </c>
      <c r="E20" s="110">
        <f t="shared" si="0"/>
        <v>2180599</v>
      </c>
      <c r="F20" s="102">
        <f t="shared" si="0"/>
        <v>4503161</v>
      </c>
      <c r="G20" s="107">
        <f>ROUND(F20/F$20*100,2)</f>
        <v>100</v>
      </c>
      <c r="H20" s="8"/>
      <c r="I20" s="8"/>
      <c r="J20" s="8"/>
    </row>
    <row r="21" spans="1:10" ht="15.75" customHeight="1">
      <c r="A21" s="1921"/>
      <c r="B21" s="1922"/>
      <c r="C21" s="1341" t="s">
        <v>1042</v>
      </c>
      <c r="D21" s="110">
        <f t="shared" si="0"/>
        <v>307272</v>
      </c>
      <c r="E21" s="110">
        <f t="shared" si="0"/>
        <v>285442</v>
      </c>
      <c r="F21" s="102">
        <f t="shared" si="0"/>
        <v>592714</v>
      </c>
      <c r="G21" s="107">
        <f t="shared" si="0"/>
        <v>100</v>
      </c>
      <c r="H21" s="8"/>
      <c r="I21" s="8"/>
      <c r="J21" s="8"/>
    </row>
    <row r="22" spans="1:10" ht="15.75" customHeight="1">
      <c r="A22" s="1921"/>
      <c r="B22" s="1922"/>
      <c r="C22" s="1386" t="s">
        <v>1108</v>
      </c>
      <c r="D22" s="195">
        <f t="shared" si="0"/>
        <v>2629834</v>
      </c>
      <c r="E22" s="195">
        <f t="shared" si="0"/>
        <v>2466041</v>
      </c>
      <c r="F22" s="197">
        <f t="shared" si="0"/>
        <v>5095875</v>
      </c>
      <c r="G22" s="1385">
        <f t="shared" si="0"/>
        <v>100</v>
      </c>
      <c r="H22" s="8"/>
      <c r="I22" s="8"/>
      <c r="J22" s="8"/>
    </row>
    <row r="23" spans="1:10" ht="24.75" customHeight="1">
      <c r="A23" s="1929" t="s">
        <v>1099</v>
      </c>
      <c r="B23" s="1930"/>
      <c r="C23" s="1931"/>
      <c r="D23" s="1934" t="s">
        <v>902</v>
      </c>
      <c r="E23" s="1935"/>
      <c r="F23" s="1931"/>
      <c r="G23" s="1833" t="s">
        <v>274</v>
      </c>
      <c r="H23" s="8"/>
      <c r="I23" s="8"/>
      <c r="J23" s="8"/>
    </row>
    <row r="24" spans="1:10" ht="18" customHeight="1">
      <c r="A24" s="1932"/>
      <c r="B24" s="1933"/>
      <c r="C24" s="1868"/>
      <c r="D24" s="164" t="s">
        <v>1040</v>
      </c>
      <c r="E24" s="133" t="s">
        <v>1041</v>
      </c>
      <c r="F24" s="133" t="s">
        <v>979</v>
      </c>
      <c r="G24" s="1928"/>
      <c r="H24" s="8"/>
      <c r="I24" s="8"/>
      <c r="J24" s="8"/>
    </row>
    <row r="25" spans="1:10" ht="15" customHeight="1">
      <c r="A25" s="1936" t="s">
        <v>961</v>
      </c>
      <c r="B25" s="1937"/>
      <c r="C25" s="1940"/>
      <c r="D25" s="1267" t="s">
        <v>962</v>
      </c>
      <c r="E25" s="1222" t="s">
        <v>990</v>
      </c>
      <c r="F25" s="1011" t="s">
        <v>991</v>
      </c>
      <c r="G25" s="493" t="s">
        <v>992</v>
      </c>
      <c r="H25" s="8"/>
      <c r="I25" s="8"/>
      <c r="J25" s="8"/>
    </row>
    <row r="26" spans="1:10" ht="15.75" customHeight="1">
      <c r="A26" s="1346" t="s">
        <v>1113</v>
      </c>
      <c r="B26" s="1347" t="s">
        <v>1101</v>
      </c>
      <c r="C26" s="1348"/>
      <c r="D26" s="1055"/>
      <c r="E26" s="92"/>
      <c r="F26" s="92"/>
      <c r="G26" s="1053"/>
      <c r="H26" s="8"/>
      <c r="I26" s="8"/>
      <c r="J26" s="8"/>
    </row>
    <row r="27" spans="1:10" ht="15.75" customHeight="1">
      <c r="A27" s="1923" t="s">
        <v>1489</v>
      </c>
      <c r="B27" s="1924"/>
      <c r="C27" s="1339" t="s">
        <v>1116</v>
      </c>
      <c r="D27" s="46"/>
      <c r="E27" s="110"/>
      <c r="F27" s="110"/>
      <c r="G27" s="102"/>
      <c r="H27" s="8"/>
      <c r="I27" s="8"/>
      <c r="J27" s="8"/>
    </row>
    <row r="28" spans="1:10" ht="15.75" customHeight="1">
      <c r="A28" s="1921"/>
      <c r="B28" s="1922"/>
      <c r="C28" s="1340" t="s">
        <v>1043</v>
      </c>
      <c r="D28" s="1337">
        <v>287132</v>
      </c>
      <c r="E28" s="1337">
        <v>48356</v>
      </c>
      <c r="F28" s="102">
        <f>SUM(D28:E28)</f>
        <v>335488</v>
      </c>
      <c r="G28" s="102">
        <f>ROUND(F28/F44*100,2)</f>
        <v>19.55</v>
      </c>
      <c r="H28" s="8"/>
      <c r="I28" s="8"/>
      <c r="J28" s="8"/>
    </row>
    <row r="29" spans="1:10" ht="15.75" customHeight="1">
      <c r="A29" s="1921"/>
      <c r="B29" s="1922"/>
      <c r="C29" s="1341" t="s">
        <v>1042</v>
      </c>
      <c r="D29" s="1337">
        <v>8821</v>
      </c>
      <c r="E29" s="1337">
        <v>906</v>
      </c>
      <c r="F29" s="102">
        <f>SUM(D29:E29)</f>
        <v>9727</v>
      </c>
      <c r="G29" s="107">
        <f>ROUND(F29/F45*100,2)</f>
        <v>5</v>
      </c>
      <c r="H29" s="8"/>
      <c r="I29" s="8"/>
      <c r="J29" s="8"/>
    </row>
    <row r="30" spans="1:10" ht="15.75" customHeight="1">
      <c r="A30" s="1921"/>
      <c r="B30" s="1922"/>
      <c r="C30" s="1383" t="s">
        <v>1108</v>
      </c>
      <c r="D30" s="1384">
        <f>SUM(D28:D29)</f>
        <v>295953</v>
      </c>
      <c r="E30" s="1384">
        <f>SUM(E28:E29)</f>
        <v>49262</v>
      </c>
      <c r="F30" s="548">
        <f>SUM(F28:F29)</f>
        <v>345215</v>
      </c>
      <c r="G30" s="144">
        <f>ROUND(F30/F46*100,2)</f>
        <v>18.07</v>
      </c>
      <c r="H30" s="8"/>
      <c r="I30" s="8"/>
      <c r="J30" s="8"/>
    </row>
    <row r="31" spans="1:10" ht="15.75" customHeight="1">
      <c r="A31" s="1923" t="s">
        <v>1490</v>
      </c>
      <c r="B31" s="1924"/>
      <c r="C31" s="1339" t="s">
        <v>1117</v>
      </c>
      <c r="D31" s="110"/>
      <c r="E31" s="110"/>
      <c r="F31" s="102"/>
      <c r="G31" s="102"/>
      <c r="H31" s="8"/>
      <c r="I31" s="8"/>
      <c r="J31" s="8"/>
    </row>
    <row r="32" spans="1:10" ht="15.75" customHeight="1">
      <c r="A32" s="1921"/>
      <c r="B32" s="1922"/>
      <c r="C32" s="1340" t="s">
        <v>1043</v>
      </c>
      <c r="D32" s="1337">
        <v>527099</v>
      </c>
      <c r="E32" s="1337">
        <v>156144</v>
      </c>
      <c r="F32" s="102">
        <f>SUM(D32:E32)</f>
        <v>683243</v>
      </c>
      <c r="G32" s="107">
        <f>ROUND(F32/F44*100,2)</f>
        <v>39.82</v>
      </c>
      <c r="H32" s="8"/>
      <c r="I32" s="8"/>
      <c r="J32" s="8"/>
    </row>
    <row r="33" spans="1:10" ht="15.75" customHeight="1">
      <c r="A33" s="1921"/>
      <c r="B33" s="1922"/>
      <c r="C33" s="1341" t="s">
        <v>1042</v>
      </c>
      <c r="D33" s="1337">
        <v>16602</v>
      </c>
      <c r="E33" s="1337">
        <v>2459</v>
      </c>
      <c r="F33" s="102">
        <f>SUM(D33:E33)</f>
        <v>19061</v>
      </c>
      <c r="G33" s="107">
        <f>ROUND(F33/F45*100,2)</f>
        <v>9.8000000000000007</v>
      </c>
      <c r="H33" s="8"/>
      <c r="I33" s="8"/>
      <c r="J33" s="8"/>
    </row>
    <row r="34" spans="1:10" ht="15.75" customHeight="1">
      <c r="A34" s="1921"/>
      <c r="B34" s="1922"/>
      <c r="C34" s="1383" t="s">
        <v>1108</v>
      </c>
      <c r="D34" s="1384">
        <f>SUM(D32:D33)</f>
        <v>543701</v>
      </c>
      <c r="E34" s="1384">
        <f>SUM(E32:E33)</f>
        <v>158603</v>
      </c>
      <c r="F34" s="548">
        <f>SUM(F32:F33)</f>
        <v>702304</v>
      </c>
      <c r="G34" s="1385">
        <f>ROUND(F34/F46*100,2)</f>
        <v>36.76</v>
      </c>
      <c r="H34" s="8"/>
      <c r="I34" s="8"/>
      <c r="J34" s="8"/>
    </row>
    <row r="35" spans="1:10" ht="15.75" customHeight="1">
      <c r="A35" s="1923" t="s">
        <v>1491</v>
      </c>
      <c r="B35" s="1924"/>
      <c r="C35" s="1339" t="s">
        <v>1118</v>
      </c>
      <c r="D35" s="110"/>
      <c r="E35" s="110"/>
      <c r="F35" s="102"/>
      <c r="G35" s="102"/>
      <c r="H35" s="8"/>
      <c r="I35" s="8"/>
      <c r="J35" s="8"/>
    </row>
    <row r="36" spans="1:10" ht="15.75" customHeight="1">
      <c r="A36" s="1921"/>
      <c r="B36" s="1922"/>
      <c r="C36" s="1340" t="s">
        <v>1043</v>
      </c>
      <c r="D36" s="1337">
        <v>51359</v>
      </c>
      <c r="E36" s="1337">
        <v>59450</v>
      </c>
      <c r="F36" s="102">
        <f>SUM(D36:E36)</f>
        <v>110809</v>
      </c>
      <c r="G36" s="107">
        <f>ROUND(F36/F44*100,2)</f>
        <v>6.46</v>
      </c>
      <c r="H36" s="8"/>
      <c r="I36" s="8"/>
      <c r="J36" s="8"/>
    </row>
    <row r="37" spans="1:10" ht="15.75" customHeight="1">
      <c r="A37" s="1921"/>
      <c r="B37" s="1922"/>
      <c r="C37" s="1341" t="s">
        <v>1042</v>
      </c>
      <c r="D37" s="1337">
        <v>5643</v>
      </c>
      <c r="E37" s="1337">
        <v>2364</v>
      </c>
      <c r="F37" s="102">
        <f>SUM(D37:E37)</f>
        <v>8007</v>
      </c>
      <c r="G37" s="107">
        <f>ROUND(F37/F45*100,2)</f>
        <v>4.12</v>
      </c>
      <c r="H37" s="8"/>
      <c r="I37" s="8"/>
      <c r="J37" s="8"/>
    </row>
    <row r="38" spans="1:10" ht="15.75" customHeight="1">
      <c r="A38" s="1921"/>
      <c r="B38" s="1922"/>
      <c r="C38" s="1383" t="s">
        <v>1108</v>
      </c>
      <c r="D38" s="1384">
        <f>SUM(D36:D37)</f>
        <v>57002</v>
      </c>
      <c r="E38" s="1384">
        <f>SUM(E36:E37)</f>
        <v>61814</v>
      </c>
      <c r="F38" s="548">
        <f>SUM(F36:F37)</f>
        <v>118816</v>
      </c>
      <c r="G38" s="1385">
        <f>ROUND(F38/F46*100,2)</f>
        <v>6.22</v>
      </c>
      <c r="H38" s="8"/>
      <c r="I38" s="8"/>
      <c r="J38" s="8"/>
    </row>
    <row r="39" spans="1:10" ht="15.75" customHeight="1">
      <c r="A39" s="1923" t="s">
        <v>1492</v>
      </c>
      <c r="B39" s="1924"/>
      <c r="C39" s="1339" t="s">
        <v>1119</v>
      </c>
      <c r="D39" s="110"/>
      <c r="E39" s="110"/>
      <c r="F39" s="102"/>
      <c r="G39" s="102"/>
      <c r="H39" s="8"/>
      <c r="I39" s="8"/>
      <c r="J39" s="8"/>
    </row>
    <row r="40" spans="1:10" ht="15.75" customHeight="1">
      <c r="A40" s="1921"/>
      <c r="B40" s="1922"/>
      <c r="C40" s="1340" t="s">
        <v>1043</v>
      </c>
      <c r="D40" s="1337">
        <v>485131</v>
      </c>
      <c r="E40" s="1337">
        <v>101138</v>
      </c>
      <c r="F40" s="102">
        <f>SUM(D40:E40)</f>
        <v>586269</v>
      </c>
      <c r="G40" s="107">
        <f>ROUND($F40/$F44*100,2)</f>
        <v>34.17</v>
      </c>
      <c r="H40" s="8"/>
      <c r="I40" s="8"/>
      <c r="J40" s="8"/>
    </row>
    <row r="41" spans="1:10" ht="15.75" customHeight="1">
      <c r="A41" s="1921"/>
      <c r="B41" s="1922"/>
      <c r="C41" s="1341" t="s">
        <v>1042</v>
      </c>
      <c r="D41" s="1337">
        <v>134309</v>
      </c>
      <c r="E41" s="1337">
        <v>23407</v>
      </c>
      <c r="F41" s="102">
        <f>SUM(D41:E41)</f>
        <v>157716</v>
      </c>
      <c r="G41" s="107">
        <f>ROUND($F41/$F45*100,2)</f>
        <v>81.08</v>
      </c>
      <c r="H41" s="8"/>
      <c r="I41" s="8"/>
      <c r="J41" s="8"/>
    </row>
    <row r="42" spans="1:10" ht="15.75" customHeight="1">
      <c r="A42" s="1921"/>
      <c r="B42" s="1922"/>
      <c r="C42" s="1383" t="s">
        <v>1108</v>
      </c>
      <c r="D42" s="1384">
        <f>SUM(D40:D41)</f>
        <v>619440</v>
      </c>
      <c r="E42" s="1384">
        <f>SUM(E40:E41)</f>
        <v>124545</v>
      </c>
      <c r="F42" s="548">
        <f>SUM(F40:F41)</f>
        <v>743985</v>
      </c>
      <c r="G42" s="1385">
        <f>ROUND($F42/$F46*100,2)</f>
        <v>38.950000000000003</v>
      </c>
      <c r="H42" s="8"/>
      <c r="I42" s="8"/>
      <c r="J42" s="8"/>
    </row>
    <row r="43" spans="1:10" ht="15.75" customHeight="1">
      <c r="A43" s="1338" t="s">
        <v>1120</v>
      </c>
      <c r="B43" s="1345"/>
      <c r="C43" s="1349"/>
      <c r="D43" s="46"/>
      <c r="E43" s="110"/>
      <c r="F43" s="110"/>
      <c r="G43" s="102"/>
      <c r="H43" s="8"/>
      <c r="I43" s="8"/>
      <c r="J43" s="8"/>
    </row>
    <row r="44" spans="1:10" ht="15.75" customHeight="1">
      <c r="A44" s="1921"/>
      <c r="B44" s="1922"/>
      <c r="C44" s="1340" t="s">
        <v>1043</v>
      </c>
      <c r="D44" s="46">
        <f t="shared" ref="D44:G45" si="1">SUM(D28,D32,D36,D40)</f>
        <v>1350721</v>
      </c>
      <c r="E44" s="110">
        <f t="shared" si="1"/>
        <v>365088</v>
      </c>
      <c r="F44" s="110">
        <f t="shared" si="1"/>
        <v>1715809</v>
      </c>
      <c r="G44" s="107">
        <f t="shared" si="1"/>
        <v>100</v>
      </c>
      <c r="H44" s="8"/>
      <c r="I44" s="8"/>
      <c r="J44" s="8"/>
    </row>
    <row r="45" spans="1:10" ht="15.75" customHeight="1">
      <c r="A45" s="1921"/>
      <c r="B45" s="1922"/>
      <c r="C45" s="1341" t="s">
        <v>1042</v>
      </c>
      <c r="D45" s="46">
        <f t="shared" si="1"/>
        <v>165375</v>
      </c>
      <c r="E45" s="110">
        <f t="shared" si="1"/>
        <v>29136</v>
      </c>
      <c r="F45" s="110">
        <f t="shared" si="1"/>
        <v>194511</v>
      </c>
      <c r="G45" s="107">
        <f t="shared" si="1"/>
        <v>100</v>
      </c>
      <c r="H45" s="8"/>
      <c r="I45" s="8"/>
      <c r="J45" s="8"/>
    </row>
    <row r="46" spans="1:10" ht="15.75" customHeight="1">
      <c r="A46" s="1925"/>
      <c r="B46" s="1926"/>
      <c r="C46" s="1386" t="s">
        <v>1108</v>
      </c>
      <c r="D46" s="1387">
        <f>SUM(D44:D45)</f>
        <v>1516096</v>
      </c>
      <c r="E46" s="1387">
        <f>SUM(E44:E45)</f>
        <v>394224</v>
      </c>
      <c r="F46" s="197">
        <f>SUM(F34,F38,F42,F30)</f>
        <v>1910320</v>
      </c>
      <c r="G46" s="1388">
        <f>SUM(G30,G34,G38,G42)</f>
        <v>100</v>
      </c>
      <c r="H46" s="8"/>
      <c r="I46" s="8"/>
      <c r="J46" s="8"/>
    </row>
    <row r="47" spans="1:10">
      <c r="G47" s="1141" t="s">
        <v>640</v>
      </c>
    </row>
  </sheetData>
  <mergeCells count="43">
    <mergeCell ref="A31:B31"/>
    <mergeCell ref="A30:B30"/>
    <mergeCell ref="A28:B28"/>
    <mergeCell ref="A29:B29"/>
    <mergeCell ref="A7:B7"/>
    <mergeCell ref="A12:B12"/>
    <mergeCell ref="A21:B21"/>
    <mergeCell ref="A14:B14"/>
    <mergeCell ref="A25:C25"/>
    <mergeCell ref="A18:B18"/>
    <mergeCell ref="A16:B16"/>
    <mergeCell ref="A27:B27"/>
    <mergeCell ref="A20:B20"/>
    <mergeCell ref="A22:B22"/>
    <mergeCell ref="A2:G2"/>
    <mergeCell ref="A5:C5"/>
    <mergeCell ref="A3:C4"/>
    <mergeCell ref="D3:F3"/>
    <mergeCell ref="G3:G4"/>
    <mergeCell ref="A1:G1"/>
    <mergeCell ref="A45:B45"/>
    <mergeCell ref="A46:B46"/>
    <mergeCell ref="A44:B44"/>
    <mergeCell ref="A39:B39"/>
    <mergeCell ref="A42:B42"/>
    <mergeCell ref="A40:B40"/>
    <mergeCell ref="A17:B17"/>
    <mergeCell ref="A10:B10"/>
    <mergeCell ref="A11:B11"/>
    <mergeCell ref="G23:G24"/>
    <mergeCell ref="A8:B8"/>
    <mergeCell ref="A9:B9"/>
    <mergeCell ref="A23:C24"/>
    <mergeCell ref="D23:F23"/>
    <mergeCell ref="A13:B13"/>
    <mergeCell ref="A41:B41"/>
    <mergeCell ref="A36:B36"/>
    <mergeCell ref="A37:B37"/>
    <mergeCell ref="A32:B32"/>
    <mergeCell ref="A33:B33"/>
    <mergeCell ref="A35:B35"/>
    <mergeCell ref="A38:B38"/>
    <mergeCell ref="A34:B34"/>
  </mergeCells>
  <phoneticPr fontId="0" type="noConversion"/>
  <printOptions horizontalCentered="1"/>
  <pageMargins left="0.1" right="0.1" top="0.46" bottom="0.1" header="0.48" footer="0.1"/>
  <pageSetup paperSize="9" orientation="portrait" blackAndWhite="1" r:id="rId1"/>
  <headerFooter alignWithMargins="0"/>
</worksheet>
</file>

<file path=xl/worksheets/sheet19.xml><?xml version="1.0" encoding="utf-8"?>
<worksheet xmlns="http://schemas.openxmlformats.org/spreadsheetml/2006/main" xmlns:r="http://schemas.openxmlformats.org/officeDocument/2006/relationships">
  <sheetPr codeName="Sheet46"/>
  <dimension ref="A1:I45"/>
  <sheetViews>
    <sheetView workbookViewId="0">
      <selection activeCell="C3" sqref="C3"/>
    </sheetView>
  </sheetViews>
  <sheetFormatPr defaultRowHeight="12.75"/>
  <cols>
    <col min="1" max="1" width="21.5703125" customWidth="1"/>
    <col min="2" max="7" width="10.7109375" customWidth="1"/>
  </cols>
  <sheetData>
    <row r="1" spans="1:9" ht="15" customHeight="1">
      <c r="A1" s="1825" t="s">
        <v>800</v>
      </c>
      <c r="B1" s="1825"/>
      <c r="C1" s="1825"/>
      <c r="D1" s="1825"/>
      <c r="E1" s="1825"/>
      <c r="F1" s="1825"/>
      <c r="G1" s="1825"/>
    </row>
    <row r="2" spans="1:9" ht="35.25" customHeight="1">
      <c r="A2" s="1857" t="str">
        <f>CONCATENATE("Scheduled Caste and Scheduled Tribe Population by sex 
in the district of ",District!$A$1,", 2011")</f>
        <v>Scheduled Caste and Scheduled Tribe Population by sex 
in the district of Purba Medinipur, 2011</v>
      </c>
      <c r="B2" s="1857"/>
      <c r="C2" s="1857"/>
      <c r="D2" s="1857"/>
      <c r="E2" s="1857"/>
      <c r="F2" s="1857"/>
      <c r="G2" s="1857"/>
      <c r="H2" s="22"/>
      <c r="I2" s="22"/>
    </row>
    <row r="3" spans="1:9" ht="12.75" customHeight="1">
      <c r="A3" s="7"/>
      <c r="B3" s="7"/>
      <c r="C3" s="7"/>
      <c r="D3" s="7"/>
      <c r="E3" s="7"/>
      <c r="F3" s="7"/>
      <c r="G3" s="204" t="s">
        <v>1001</v>
      </c>
    </row>
    <row r="4" spans="1:9" ht="15.75" customHeight="1">
      <c r="A4" s="1837" t="s">
        <v>162</v>
      </c>
      <c r="B4" s="1827" t="s">
        <v>307</v>
      </c>
      <c r="C4" s="1827"/>
      <c r="D4" s="1828"/>
      <c r="E4" s="1829" t="s">
        <v>308</v>
      </c>
      <c r="F4" s="1827"/>
      <c r="G4" s="1828"/>
    </row>
    <row r="5" spans="1:9" ht="16.5" customHeight="1">
      <c r="A5" s="1838"/>
      <c r="B5" s="156" t="s">
        <v>1040</v>
      </c>
      <c r="C5" s="164" t="s">
        <v>1041</v>
      </c>
      <c r="D5" s="133" t="s">
        <v>979</v>
      </c>
      <c r="E5" s="156" t="s">
        <v>1040</v>
      </c>
      <c r="F5" s="133" t="s">
        <v>1041</v>
      </c>
      <c r="G5" s="163" t="s">
        <v>979</v>
      </c>
    </row>
    <row r="6" spans="1:9" ht="18.75" customHeight="1">
      <c r="A6" s="134" t="s">
        <v>955</v>
      </c>
      <c r="B6" s="135" t="s">
        <v>956</v>
      </c>
      <c r="C6" s="137" t="s">
        <v>957</v>
      </c>
      <c r="D6" s="134" t="s">
        <v>958</v>
      </c>
      <c r="E6" s="135" t="s">
        <v>959</v>
      </c>
      <c r="F6" s="134" t="s">
        <v>961</v>
      </c>
      <c r="G6" s="136" t="s">
        <v>962</v>
      </c>
    </row>
    <row r="7" spans="1:9" ht="16.5" customHeight="1">
      <c r="A7" s="385" t="s">
        <v>1273</v>
      </c>
      <c r="B7" s="519">
        <f t="shared" ref="B7:G7" si="0">SUM(B8:B16)</f>
        <v>107379</v>
      </c>
      <c r="C7" s="360">
        <f t="shared" si="0"/>
        <v>100565</v>
      </c>
      <c r="D7" s="519">
        <f t="shared" si="0"/>
        <v>207944</v>
      </c>
      <c r="E7" s="519">
        <f t="shared" si="0"/>
        <v>8040</v>
      </c>
      <c r="F7" s="519">
        <f t="shared" si="0"/>
        <v>7973</v>
      </c>
      <c r="G7" s="307">
        <f t="shared" si="0"/>
        <v>16013</v>
      </c>
    </row>
    <row r="8" spans="1:9" ht="16.5" customHeight="1">
      <c r="A8" s="267" t="s">
        <v>200</v>
      </c>
      <c r="B8" s="120">
        <v>10909</v>
      </c>
      <c r="C8" s="104">
        <v>10236</v>
      </c>
      <c r="D8" s="110">
        <f t="shared" ref="D8:D16" si="1">B8+C8</f>
        <v>21145</v>
      </c>
      <c r="E8" s="120">
        <v>33</v>
      </c>
      <c r="F8" s="120">
        <v>34</v>
      </c>
      <c r="G8" s="102">
        <f t="shared" ref="G8:G16" si="2">E8+F8</f>
        <v>67</v>
      </c>
    </row>
    <row r="9" spans="1:9" ht="16.5" customHeight="1">
      <c r="A9" s="267" t="s">
        <v>1386</v>
      </c>
      <c r="B9" s="120">
        <v>5698</v>
      </c>
      <c r="C9" s="104">
        <v>5541</v>
      </c>
      <c r="D9" s="110">
        <f t="shared" si="1"/>
        <v>11239</v>
      </c>
      <c r="E9" s="120">
        <v>127</v>
      </c>
      <c r="F9" s="120">
        <v>119</v>
      </c>
      <c r="G9" s="102">
        <f t="shared" si="2"/>
        <v>246</v>
      </c>
    </row>
    <row r="10" spans="1:9" ht="16.5" customHeight="1">
      <c r="A10" s="267" t="s">
        <v>1388</v>
      </c>
      <c r="B10" s="120">
        <v>14856</v>
      </c>
      <c r="C10" s="104">
        <v>14327</v>
      </c>
      <c r="D10" s="110">
        <f t="shared" si="1"/>
        <v>29183</v>
      </c>
      <c r="E10" s="120">
        <v>6274</v>
      </c>
      <c r="F10" s="120">
        <v>6257</v>
      </c>
      <c r="G10" s="102">
        <f t="shared" si="2"/>
        <v>12531</v>
      </c>
    </row>
    <row r="11" spans="1:9" ht="16.5" customHeight="1">
      <c r="A11" s="165" t="s">
        <v>1385</v>
      </c>
      <c r="B11" s="120">
        <v>12604</v>
      </c>
      <c r="C11" s="104">
        <v>11989</v>
      </c>
      <c r="D11" s="110">
        <f t="shared" si="1"/>
        <v>24593</v>
      </c>
      <c r="E11" s="120">
        <v>473</v>
      </c>
      <c r="F11" s="120">
        <v>472</v>
      </c>
      <c r="G11" s="102">
        <f t="shared" si="2"/>
        <v>945</v>
      </c>
    </row>
    <row r="12" spans="1:9" ht="16.5" customHeight="1">
      <c r="A12" s="267" t="s">
        <v>1390</v>
      </c>
      <c r="B12" s="120">
        <v>29689</v>
      </c>
      <c r="C12" s="104">
        <v>27131</v>
      </c>
      <c r="D12" s="110">
        <f t="shared" si="1"/>
        <v>56820</v>
      </c>
      <c r="E12" s="120">
        <v>177</v>
      </c>
      <c r="F12" s="120">
        <v>139</v>
      </c>
      <c r="G12" s="102">
        <f t="shared" si="2"/>
        <v>316</v>
      </c>
    </row>
    <row r="13" spans="1:9" ht="16.5" customHeight="1">
      <c r="A13" s="267" t="s">
        <v>1391</v>
      </c>
      <c r="B13" s="120">
        <v>19418</v>
      </c>
      <c r="C13" s="104">
        <v>17948</v>
      </c>
      <c r="D13" s="110">
        <f t="shared" si="1"/>
        <v>37366</v>
      </c>
      <c r="E13" s="120">
        <v>305</v>
      </c>
      <c r="F13" s="120">
        <v>328</v>
      </c>
      <c r="G13" s="102">
        <f t="shared" si="2"/>
        <v>633</v>
      </c>
    </row>
    <row r="14" spans="1:9" ht="16.5" customHeight="1">
      <c r="A14" s="604" t="s">
        <v>1392</v>
      </c>
      <c r="B14" s="120">
        <v>9853</v>
      </c>
      <c r="C14" s="104">
        <v>9242</v>
      </c>
      <c r="D14" s="110">
        <f t="shared" si="1"/>
        <v>19095</v>
      </c>
      <c r="E14" s="120">
        <v>102</v>
      </c>
      <c r="F14" s="120">
        <v>98</v>
      </c>
      <c r="G14" s="102">
        <f t="shared" si="2"/>
        <v>200</v>
      </c>
    </row>
    <row r="15" spans="1:9" ht="16.5" customHeight="1">
      <c r="A15" s="604" t="s">
        <v>1389</v>
      </c>
      <c r="B15" s="120">
        <v>2040</v>
      </c>
      <c r="C15" s="104">
        <v>2022</v>
      </c>
      <c r="D15" s="110">
        <f t="shared" si="1"/>
        <v>4062</v>
      </c>
      <c r="E15" s="120">
        <v>448</v>
      </c>
      <c r="F15" s="120">
        <v>426</v>
      </c>
      <c r="G15" s="102">
        <f t="shared" si="2"/>
        <v>874</v>
      </c>
    </row>
    <row r="16" spans="1:9" ht="16.5" customHeight="1">
      <c r="A16" s="267" t="s">
        <v>1383</v>
      </c>
      <c r="B16" s="120">
        <v>2312</v>
      </c>
      <c r="C16" s="104">
        <v>2129</v>
      </c>
      <c r="D16" s="110">
        <f t="shared" si="1"/>
        <v>4441</v>
      </c>
      <c r="E16" s="120">
        <v>101</v>
      </c>
      <c r="F16" s="120">
        <v>100</v>
      </c>
      <c r="G16" s="102">
        <f t="shared" si="2"/>
        <v>201</v>
      </c>
    </row>
    <row r="17" spans="1:7" ht="16.5" customHeight="1">
      <c r="A17" s="386" t="s">
        <v>1274</v>
      </c>
      <c r="B17" s="389">
        <f t="shared" ref="B17:G17" si="3">SUM(B18:B23)</f>
        <v>82933</v>
      </c>
      <c r="C17" s="360">
        <f t="shared" si="3"/>
        <v>77020</v>
      </c>
      <c r="D17" s="389">
        <f t="shared" si="3"/>
        <v>159953</v>
      </c>
      <c r="E17" s="389">
        <f t="shared" si="3"/>
        <v>1268</v>
      </c>
      <c r="F17" s="389">
        <f t="shared" si="3"/>
        <v>1155</v>
      </c>
      <c r="G17" s="307">
        <f t="shared" si="3"/>
        <v>2423</v>
      </c>
    </row>
    <row r="18" spans="1:7" ht="16.5" customHeight="1">
      <c r="A18" s="267" t="s">
        <v>1393</v>
      </c>
      <c r="B18" s="120">
        <v>11900</v>
      </c>
      <c r="C18" s="104">
        <v>11301</v>
      </c>
      <c r="D18" s="110">
        <f t="shared" ref="D18:D23" si="4">B18+C18</f>
        <v>23201</v>
      </c>
      <c r="E18" s="120">
        <v>106</v>
      </c>
      <c r="F18" s="120">
        <v>87</v>
      </c>
      <c r="G18" s="102">
        <f t="shared" ref="G18:G23" si="5">E18+F18</f>
        <v>193</v>
      </c>
    </row>
    <row r="19" spans="1:7" ht="16.5" customHeight="1">
      <c r="A19" s="267" t="s">
        <v>1395</v>
      </c>
      <c r="B19" s="120">
        <v>19940</v>
      </c>
      <c r="C19" s="104">
        <v>18679</v>
      </c>
      <c r="D19" s="110">
        <f t="shared" si="4"/>
        <v>38619</v>
      </c>
      <c r="E19" s="120">
        <v>63</v>
      </c>
      <c r="F19" s="120">
        <v>76</v>
      </c>
      <c r="G19" s="102">
        <f t="shared" si="5"/>
        <v>139</v>
      </c>
    </row>
    <row r="20" spans="1:7" ht="16.5" customHeight="1">
      <c r="A20" s="267" t="s">
        <v>1396</v>
      </c>
      <c r="B20" s="120">
        <v>8188</v>
      </c>
      <c r="C20" s="104">
        <v>7696</v>
      </c>
      <c r="D20" s="110">
        <f t="shared" si="4"/>
        <v>15884</v>
      </c>
      <c r="E20" s="120">
        <v>97</v>
      </c>
      <c r="F20" s="120">
        <v>99</v>
      </c>
      <c r="G20" s="102">
        <f t="shared" si="5"/>
        <v>196</v>
      </c>
    </row>
    <row r="21" spans="1:7" ht="16.5" customHeight="1">
      <c r="A21" s="267" t="s">
        <v>1397</v>
      </c>
      <c r="B21" s="120">
        <v>19658</v>
      </c>
      <c r="C21" s="104">
        <v>18168</v>
      </c>
      <c r="D21" s="110">
        <f t="shared" si="4"/>
        <v>37826</v>
      </c>
      <c r="E21" s="120">
        <v>19</v>
      </c>
      <c r="F21" s="120">
        <v>28</v>
      </c>
      <c r="G21" s="102">
        <f t="shared" si="5"/>
        <v>47</v>
      </c>
    </row>
    <row r="22" spans="1:7" ht="16.5" customHeight="1">
      <c r="A22" s="387" t="s">
        <v>1399</v>
      </c>
      <c r="B22" s="120">
        <v>3905</v>
      </c>
      <c r="C22" s="104">
        <v>3572</v>
      </c>
      <c r="D22" s="110">
        <f t="shared" si="4"/>
        <v>7477</v>
      </c>
      <c r="E22" s="120">
        <v>145</v>
      </c>
      <c r="F22" s="120">
        <v>143</v>
      </c>
      <c r="G22" s="102">
        <f t="shared" si="5"/>
        <v>288</v>
      </c>
    </row>
    <row r="23" spans="1:7" ht="16.5" customHeight="1">
      <c r="A23" s="267" t="s">
        <v>1400</v>
      </c>
      <c r="B23" s="120">
        <v>19342</v>
      </c>
      <c r="C23" s="104">
        <v>17604</v>
      </c>
      <c r="D23" s="110">
        <f t="shared" si="4"/>
        <v>36946</v>
      </c>
      <c r="E23" s="120">
        <v>838</v>
      </c>
      <c r="F23" s="120">
        <v>722</v>
      </c>
      <c r="G23" s="102">
        <f t="shared" si="5"/>
        <v>1560</v>
      </c>
    </row>
    <row r="24" spans="1:7" ht="16.5" customHeight="1">
      <c r="A24" s="386" t="s">
        <v>844</v>
      </c>
      <c r="B24" s="389">
        <f t="shared" ref="B24:G24" si="6">SUM(B25:B30)</f>
        <v>68893</v>
      </c>
      <c r="C24" s="360">
        <f t="shared" si="6"/>
        <v>65315</v>
      </c>
      <c r="D24" s="389">
        <f t="shared" si="6"/>
        <v>134208</v>
      </c>
      <c r="E24" s="389">
        <f t="shared" si="6"/>
        <v>3296</v>
      </c>
      <c r="F24" s="389">
        <f t="shared" si="6"/>
        <v>3210</v>
      </c>
      <c r="G24" s="307">
        <f t="shared" si="6"/>
        <v>6506</v>
      </c>
    </row>
    <row r="25" spans="1:7" ht="16.5" customHeight="1">
      <c r="A25" s="267" t="s">
        <v>1269</v>
      </c>
      <c r="B25" s="120">
        <v>12448</v>
      </c>
      <c r="C25" s="104">
        <v>11893</v>
      </c>
      <c r="D25" s="110">
        <f t="shared" ref="D25:D30" si="7">B25+C25</f>
        <v>24341</v>
      </c>
      <c r="E25" s="120">
        <v>562</v>
      </c>
      <c r="F25" s="120">
        <v>562</v>
      </c>
      <c r="G25" s="102">
        <f t="shared" ref="G25:G30" si="8">E25+F25</f>
        <v>1124</v>
      </c>
    </row>
    <row r="26" spans="1:7" ht="16.5" customHeight="1">
      <c r="A26" s="267" t="s">
        <v>1270</v>
      </c>
      <c r="B26" s="120">
        <v>10771</v>
      </c>
      <c r="C26" s="104">
        <v>10306</v>
      </c>
      <c r="D26" s="110">
        <f t="shared" si="7"/>
        <v>21077</v>
      </c>
      <c r="E26" s="120">
        <v>708</v>
      </c>
      <c r="F26" s="120">
        <v>680</v>
      </c>
      <c r="G26" s="102">
        <f t="shared" si="8"/>
        <v>1388</v>
      </c>
    </row>
    <row r="27" spans="1:7" ht="16.5" customHeight="1">
      <c r="A27" s="267" t="s">
        <v>1412</v>
      </c>
      <c r="B27" s="120">
        <v>17318</v>
      </c>
      <c r="C27" s="104">
        <v>16117</v>
      </c>
      <c r="D27" s="110">
        <f t="shared" si="7"/>
        <v>33435</v>
      </c>
      <c r="E27" s="120">
        <v>203</v>
      </c>
      <c r="F27" s="120">
        <v>208</v>
      </c>
      <c r="G27" s="102">
        <f t="shared" si="8"/>
        <v>411</v>
      </c>
    </row>
    <row r="28" spans="1:7" ht="16.5" customHeight="1">
      <c r="A28" s="267" t="s">
        <v>1413</v>
      </c>
      <c r="B28" s="120">
        <v>7952</v>
      </c>
      <c r="C28" s="104">
        <v>7509</v>
      </c>
      <c r="D28" s="110">
        <f t="shared" si="7"/>
        <v>15461</v>
      </c>
      <c r="E28" s="120">
        <v>1350</v>
      </c>
      <c r="F28" s="120">
        <v>1267</v>
      </c>
      <c r="G28" s="102">
        <f t="shared" si="8"/>
        <v>2617</v>
      </c>
    </row>
    <row r="29" spans="1:7" ht="16.5" customHeight="1">
      <c r="A29" s="267" t="s">
        <v>1414</v>
      </c>
      <c r="B29" s="120">
        <v>18627</v>
      </c>
      <c r="C29" s="104">
        <v>17749</v>
      </c>
      <c r="D29" s="110">
        <f t="shared" si="7"/>
        <v>36376</v>
      </c>
      <c r="E29" s="120">
        <v>208</v>
      </c>
      <c r="F29" s="120">
        <v>220</v>
      </c>
      <c r="G29" s="102">
        <f t="shared" si="8"/>
        <v>428</v>
      </c>
    </row>
    <row r="30" spans="1:7" ht="16.5" customHeight="1">
      <c r="A30" s="267" t="s">
        <v>1415</v>
      </c>
      <c r="B30" s="120">
        <v>1777</v>
      </c>
      <c r="C30" s="104">
        <v>1741</v>
      </c>
      <c r="D30" s="110">
        <f t="shared" si="7"/>
        <v>3518</v>
      </c>
      <c r="E30" s="120">
        <v>265</v>
      </c>
      <c r="F30" s="120">
        <v>273</v>
      </c>
      <c r="G30" s="102">
        <f t="shared" si="8"/>
        <v>538</v>
      </c>
    </row>
    <row r="31" spans="1:7" ht="16.5" customHeight="1">
      <c r="A31" s="386" t="s">
        <v>1275</v>
      </c>
      <c r="B31" s="389">
        <f t="shared" ref="B31:G31" si="9">SUM(B32:B40)</f>
        <v>124513</v>
      </c>
      <c r="C31" s="360">
        <f t="shared" si="9"/>
        <v>118816</v>
      </c>
      <c r="D31" s="389">
        <f t="shared" si="9"/>
        <v>243329</v>
      </c>
      <c r="E31" s="389">
        <f t="shared" si="9"/>
        <v>1592</v>
      </c>
      <c r="F31" s="389">
        <f t="shared" si="9"/>
        <v>1418</v>
      </c>
      <c r="G31" s="307">
        <f t="shared" si="9"/>
        <v>3010</v>
      </c>
    </row>
    <row r="32" spans="1:7" ht="16.5" customHeight="1">
      <c r="A32" s="267" t="s">
        <v>1419</v>
      </c>
      <c r="B32" s="120">
        <v>9029</v>
      </c>
      <c r="C32" s="104">
        <v>8715</v>
      </c>
      <c r="D32" s="110">
        <f t="shared" ref="D32:D40" si="10">B32+C32</f>
        <v>17744</v>
      </c>
      <c r="E32" s="120">
        <v>85</v>
      </c>
      <c r="F32" s="120">
        <v>84</v>
      </c>
      <c r="G32" s="102">
        <f t="shared" ref="G32:G40" si="11">E32+F32</f>
        <v>169</v>
      </c>
    </row>
    <row r="33" spans="1:7" ht="16.5" customHeight="1">
      <c r="A33" s="267" t="s">
        <v>1420</v>
      </c>
      <c r="B33" s="120">
        <v>40415</v>
      </c>
      <c r="C33" s="104">
        <v>38734</v>
      </c>
      <c r="D33" s="110">
        <f t="shared" si="10"/>
        <v>79149</v>
      </c>
      <c r="E33" s="120">
        <v>443</v>
      </c>
      <c r="F33" s="120">
        <v>457</v>
      </c>
      <c r="G33" s="102">
        <f t="shared" si="11"/>
        <v>900</v>
      </c>
    </row>
    <row r="34" spans="1:7" ht="16.5" customHeight="1">
      <c r="A34" s="267" t="s">
        <v>1422</v>
      </c>
      <c r="B34" s="120">
        <v>17425</v>
      </c>
      <c r="C34" s="104">
        <v>16486</v>
      </c>
      <c r="D34" s="110">
        <f t="shared" si="10"/>
        <v>33911</v>
      </c>
      <c r="E34" s="120">
        <v>83</v>
      </c>
      <c r="F34" s="120">
        <v>64</v>
      </c>
      <c r="G34" s="102">
        <f t="shared" si="11"/>
        <v>147</v>
      </c>
    </row>
    <row r="35" spans="1:7" ht="16.5" customHeight="1">
      <c r="A35" s="267" t="s">
        <v>1423</v>
      </c>
      <c r="B35" s="120">
        <v>11220</v>
      </c>
      <c r="C35" s="104">
        <v>10827</v>
      </c>
      <c r="D35" s="110">
        <f t="shared" si="10"/>
        <v>22047</v>
      </c>
      <c r="E35" s="120">
        <v>395</v>
      </c>
      <c r="F35" s="120">
        <v>371</v>
      </c>
      <c r="G35" s="102">
        <f t="shared" si="11"/>
        <v>766</v>
      </c>
    </row>
    <row r="36" spans="1:7" ht="16.5" customHeight="1">
      <c r="A36" s="267" t="s">
        <v>1425</v>
      </c>
      <c r="B36" s="120">
        <v>11177</v>
      </c>
      <c r="C36" s="104">
        <v>10610</v>
      </c>
      <c r="D36" s="110">
        <f t="shared" si="10"/>
        <v>21787</v>
      </c>
      <c r="E36" s="120">
        <v>162</v>
      </c>
      <c r="F36" s="120">
        <v>137</v>
      </c>
      <c r="G36" s="102">
        <f t="shared" si="11"/>
        <v>299</v>
      </c>
    </row>
    <row r="37" spans="1:7" ht="16.5" customHeight="1">
      <c r="A37" s="267" t="s">
        <v>1426</v>
      </c>
      <c r="B37" s="120">
        <v>12162</v>
      </c>
      <c r="C37" s="104">
        <v>11400</v>
      </c>
      <c r="D37" s="110">
        <f t="shared" si="10"/>
        <v>23562</v>
      </c>
      <c r="E37" s="120">
        <v>48</v>
      </c>
      <c r="F37" s="120">
        <v>44</v>
      </c>
      <c r="G37" s="102">
        <f t="shared" si="11"/>
        <v>92</v>
      </c>
    </row>
    <row r="38" spans="1:7" ht="16.5" customHeight="1">
      <c r="A38" s="604" t="s">
        <v>263</v>
      </c>
      <c r="B38" s="120">
        <v>8940</v>
      </c>
      <c r="C38" s="104">
        <v>8492</v>
      </c>
      <c r="D38" s="110">
        <f t="shared" si="10"/>
        <v>17432</v>
      </c>
      <c r="E38" s="120">
        <v>60</v>
      </c>
      <c r="F38" s="120">
        <v>51</v>
      </c>
      <c r="G38" s="102">
        <f t="shared" si="11"/>
        <v>111</v>
      </c>
    </row>
    <row r="39" spans="1:7" ht="16.5" customHeight="1">
      <c r="A39" s="267" t="s">
        <v>1429</v>
      </c>
      <c r="B39" s="120">
        <v>10671</v>
      </c>
      <c r="C39" s="104">
        <v>10161</v>
      </c>
      <c r="D39" s="110">
        <f t="shared" si="10"/>
        <v>20832</v>
      </c>
      <c r="E39" s="120">
        <v>72</v>
      </c>
      <c r="F39" s="120">
        <v>72</v>
      </c>
      <c r="G39" s="102">
        <f t="shared" si="11"/>
        <v>144</v>
      </c>
    </row>
    <row r="40" spans="1:7" ht="16.5" customHeight="1">
      <c r="A40" s="305" t="s">
        <v>1427</v>
      </c>
      <c r="B40" s="121">
        <v>3474</v>
      </c>
      <c r="C40" s="114">
        <v>3391</v>
      </c>
      <c r="D40" s="111">
        <f t="shared" si="10"/>
        <v>6865</v>
      </c>
      <c r="E40" s="121">
        <v>244</v>
      </c>
      <c r="F40" s="121">
        <v>138</v>
      </c>
      <c r="G40" s="116">
        <f t="shared" si="11"/>
        <v>382</v>
      </c>
    </row>
    <row r="41" spans="1:7">
      <c r="A41" s="237" t="s">
        <v>414</v>
      </c>
      <c r="B41" s="348"/>
      <c r="C41" s="238"/>
      <c r="D41" s="348"/>
      <c r="E41" s="348"/>
      <c r="F41" s="348"/>
      <c r="G41" s="240"/>
    </row>
    <row r="42" spans="1:7">
      <c r="A42" s="239" t="s">
        <v>1121</v>
      </c>
      <c r="B42" s="348">
        <f t="shared" ref="B42:G42" si="12">SUM(B7,B17,B24,B31)</f>
        <v>383718</v>
      </c>
      <c r="C42" s="238">
        <f t="shared" si="12"/>
        <v>361716</v>
      </c>
      <c r="D42" s="348">
        <f t="shared" si="12"/>
        <v>745434</v>
      </c>
      <c r="E42" s="348">
        <f t="shared" si="12"/>
        <v>14196</v>
      </c>
      <c r="F42" s="348">
        <f t="shared" si="12"/>
        <v>13756</v>
      </c>
      <c r="G42" s="240">
        <f t="shared" si="12"/>
        <v>27952</v>
      </c>
    </row>
    <row r="43" spans="1:7">
      <c r="A43" s="239" t="s">
        <v>1122</v>
      </c>
      <c r="B43" s="348">
        <v>348478</v>
      </c>
      <c r="C43" s="348">
        <v>328785</v>
      </c>
      <c r="D43" s="349">
        <f>SUM(B43:C43)</f>
        <v>677263</v>
      </c>
      <c r="E43" s="348">
        <v>12110</v>
      </c>
      <c r="F43" s="348">
        <v>11918</v>
      </c>
      <c r="G43" s="241">
        <f>SUM(E43:F43)</f>
        <v>24028</v>
      </c>
    </row>
    <row r="44" spans="1:7">
      <c r="A44" s="242" t="s">
        <v>1123</v>
      </c>
      <c r="B44" s="215">
        <v>35240</v>
      </c>
      <c r="C44" s="216">
        <v>32931</v>
      </c>
      <c r="D44" s="215">
        <f>D42-D43</f>
        <v>68171</v>
      </c>
      <c r="E44" s="215">
        <v>2086</v>
      </c>
      <c r="F44" s="215">
        <v>1838</v>
      </c>
      <c r="G44" s="217">
        <f>G42-G43</f>
        <v>3924</v>
      </c>
    </row>
    <row r="45" spans="1:7">
      <c r="A45" s="1147"/>
      <c r="E45" s="1941" t="s">
        <v>640</v>
      </c>
      <c r="F45" s="1941"/>
      <c r="G45" s="1941"/>
    </row>
  </sheetData>
  <mergeCells count="6">
    <mergeCell ref="A1:G1"/>
    <mergeCell ref="E45:G45"/>
    <mergeCell ref="A2:G2"/>
    <mergeCell ref="A4:A5"/>
    <mergeCell ref="B4:D4"/>
    <mergeCell ref="E4:G4"/>
  </mergeCells>
  <phoneticPr fontId="0" type="noConversion"/>
  <printOptions horizontalCentered="1"/>
  <pageMargins left="0.1" right="0.15" top="0.72" bottom="0.1" header="0.79" footer="0.1"/>
  <pageSetup paperSize="9" orientation="portrait" blackAndWhite="1" r:id="rId1"/>
  <headerFooter alignWithMargins="0"/>
</worksheet>
</file>

<file path=xl/worksheets/sheet2.xml><?xml version="1.0" encoding="utf-8"?>
<worksheet xmlns="http://schemas.openxmlformats.org/spreadsheetml/2006/main" xmlns:r="http://schemas.openxmlformats.org/officeDocument/2006/relationships">
  <dimension ref="A14:K45"/>
  <sheetViews>
    <sheetView showGridLines="0" workbookViewId="0">
      <selection activeCell="K18" sqref="K18"/>
    </sheetView>
  </sheetViews>
  <sheetFormatPr defaultRowHeight="12.75"/>
  <sheetData>
    <row r="14" spans="1:9" ht="30">
      <c r="A14" s="1807" t="s">
        <v>1136</v>
      </c>
      <c r="B14" s="1807"/>
      <c r="C14" s="1807"/>
      <c r="D14" s="1807"/>
      <c r="E14" s="1807"/>
      <c r="F14" s="1807"/>
      <c r="G14" s="1807"/>
      <c r="H14" s="1807"/>
      <c r="I14" s="1807"/>
    </row>
    <row r="18" spans="1:11" ht="23.25">
      <c r="I18" s="358"/>
      <c r="J18" s="358"/>
      <c r="K18" s="358"/>
    </row>
    <row r="19" spans="1:11" ht="45">
      <c r="A19" s="1809" t="str">
        <f>District!A1</f>
        <v>Purba Medinipur</v>
      </c>
      <c r="B19" s="1809"/>
      <c r="C19" s="1809"/>
      <c r="D19" s="1809"/>
      <c r="E19" s="1809"/>
      <c r="F19" s="1809"/>
      <c r="G19" s="1809"/>
      <c r="H19" s="1809"/>
      <c r="I19" s="1809"/>
      <c r="J19" s="359"/>
      <c r="K19" s="359"/>
    </row>
    <row r="23" spans="1:11" ht="35.25">
      <c r="A23" s="1808">
        <f>District!B6</f>
        <v>2014</v>
      </c>
      <c r="B23" s="1808"/>
      <c r="C23" s="1808"/>
      <c r="D23" s="1808"/>
      <c r="E23" s="1808"/>
      <c r="F23" s="1808"/>
      <c r="G23" s="1808"/>
      <c r="H23" s="1808"/>
      <c r="I23" s="1808"/>
    </row>
    <row r="43" spans="1:9" ht="20.25">
      <c r="A43" s="1804" t="s">
        <v>1451</v>
      </c>
      <c r="B43" s="1804"/>
      <c r="C43" s="1804"/>
      <c r="D43" s="1804"/>
      <c r="E43" s="1804"/>
      <c r="F43" s="1804"/>
      <c r="G43" s="1804"/>
      <c r="H43" s="1804"/>
      <c r="I43" s="1804"/>
    </row>
    <row r="44" spans="1:9" ht="20.25" customHeight="1">
      <c r="A44" s="1806" t="s">
        <v>1586</v>
      </c>
      <c r="B44" s="1806"/>
      <c r="C44" s="1806"/>
      <c r="D44" s="1806"/>
      <c r="E44" s="1806"/>
      <c r="F44" s="1806"/>
      <c r="G44" s="1806"/>
      <c r="H44" s="1806"/>
      <c r="I44" s="1806"/>
    </row>
    <row r="45" spans="1:9" ht="23.25">
      <c r="A45" s="1805" t="s">
        <v>1452</v>
      </c>
      <c r="B45" s="1805"/>
      <c r="C45" s="1805"/>
      <c r="D45" s="1805"/>
      <c r="E45" s="1805"/>
      <c r="F45" s="1805"/>
      <c r="G45" s="1805"/>
      <c r="H45" s="1805"/>
      <c r="I45" s="1805"/>
    </row>
  </sheetData>
  <mergeCells count="6">
    <mergeCell ref="A45:I45"/>
    <mergeCell ref="A44:I44"/>
    <mergeCell ref="A14:I14"/>
    <mergeCell ref="A23:I23"/>
    <mergeCell ref="A19:I19"/>
    <mergeCell ref="A43:I43"/>
  </mergeCells>
  <phoneticPr fontId="0" type="noConversion"/>
  <printOptions horizontalCentered="1"/>
  <pageMargins left="0.75" right="0.75" top="1" bottom="1" header="0.5" footer="0.5"/>
  <pageSetup paperSize="9" orientation="portrait" horizontalDpi="4294967295" r:id="rId1"/>
  <headerFooter alignWithMargins="0"/>
  <legacyDrawing r:id="rId2"/>
  <oleObjects>
    <oleObject progId="CorelDRAW.Graphic.9" shapeId="4097" r:id="rId3"/>
  </oleObjects>
</worksheet>
</file>

<file path=xl/worksheets/sheet20.xml><?xml version="1.0" encoding="utf-8"?>
<worksheet xmlns="http://schemas.openxmlformats.org/spreadsheetml/2006/main" xmlns:r="http://schemas.openxmlformats.org/officeDocument/2006/relationships">
  <sheetPr codeName="Sheet19"/>
  <dimension ref="A1:M17"/>
  <sheetViews>
    <sheetView workbookViewId="0">
      <selection activeCell="C3" sqref="C3"/>
    </sheetView>
  </sheetViews>
  <sheetFormatPr defaultRowHeight="12.75"/>
  <cols>
    <col min="1" max="1" width="14.28515625" customWidth="1"/>
    <col min="2" max="2" width="18" customWidth="1"/>
    <col min="3" max="3" width="10.85546875" customWidth="1"/>
    <col min="4" max="4" width="11.7109375" customWidth="1"/>
    <col min="5" max="6" width="11.5703125" customWidth="1"/>
    <col min="7" max="7" width="11.42578125" customWidth="1"/>
    <col min="8" max="8" width="10.7109375" customWidth="1"/>
    <col min="9" max="9" width="11" customWidth="1"/>
    <col min="10" max="11" width="10.7109375" customWidth="1"/>
  </cols>
  <sheetData>
    <row r="1" spans="1:13" ht="17.25" customHeight="1">
      <c r="B1" s="1825" t="s">
        <v>799</v>
      </c>
      <c r="C1" s="1825"/>
      <c r="D1" s="1825"/>
      <c r="E1" s="1825"/>
      <c r="F1" s="1825"/>
      <c r="G1" s="1825"/>
      <c r="H1" s="1825"/>
      <c r="I1" s="1825"/>
      <c r="J1" s="1825"/>
      <c r="K1" s="1825"/>
    </row>
    <row r="2" spans="1:13" ht="19.5" customHeight="1">
      <c r="B2" s="1853" t="s">
        <v>615</v>
      </c>
      <c r="C2" s="1853"/>
      <c r="D2" s="1853"/>
      <c r="E2" s="1853"/>
      <c r="F2" s="1853"/>
      <c r="G2" s="1853"/>
      <c r="H2" s="1853"/>
      <c r="I2" s="1853"/>
      <c r="J2" s="1853"/>
      <c r="K2" s="1853"/>
    </row>
    <row r="3" spans="1:13" ht="14.25" customHeight="1">
      <c r="B3" s="1252"/>
      <c r="C3" s="1252"/>
      <c r="D3" s="1251"/>
      <c r="E3" s="1251"/>
      <c r="F3" s="1251"/>
      <c r="G3" s="1251"/>
      <c r="H3" s="1251"/>
      <c r="I3" s="1964" t="s">
        <v>244</v>
      </c>
      <c r="J3" s="1964"/>
      <c r="K3" s="1964"/>
      <c r="L3" s="1258"/>
      <c r="M3" s="1258"/>
    </row>
    <row r="4" spans="1:13" ht="20.25" customHeight="1">
      <c r="B4" s="1929" t="s">
        <v>1167</v>
      </c>
      <c r="C4" s="1931"/>
      <c r="D4" s="1829">
        <v>1991</v>
      </c>
      <c r="E4" s="1827"/>
      <c r="F4" s="1827"/>
      <c r="G4" s="1827"/>
      <c r="H4" s="1829">
        <v>2001</v>
      </c>
      <c r="I4" s="1827"/>
      <c r="J4" s="1827"/>
      <c r="K4" s="1828"/>
    </row>
    <row r="5" spans="1:13" ht="25.5" customHeight="1">
      <c r="B5" s="1934"/>
      <c r="C5" s="1867"/>
      <c r="D5" s="1966" t="s">
        <v>1168</v>
      </c>
      <c r="E5" s="1967"/>
      <c r="F5" s="1966" t="s">
        <v>426</v>
      </c>
      <c r="G5" s="1967"/>
      <c r="H5" s="1966" t="s">
        <v>1168</v>
      </c>
      <c r="I5" s="1967"/>
      <c r="J5" s="1966" t="s">
        <v>426</v>
      </c>
      <c r="K5" s="1967"/>
    </row>
    <row r="6" spans="1:13" ht="18.75" customHeight="1">
      <c r="B6" s="1965" t="s">
        <v>955</v>
      </c>
      <c r="C6" s="1905"/>
      <c r="D6" s="1954" t="s">
        <v>956</v>
      </c>
      <c r="E6" s="1955"/>
      <c r="F6" s="1954" t="s">
        <v>957</v>
      </c>
      <c r="G6" s="1955"/>
      <c r="H6" s="1954" t="s">
        <v>958</v>
      </c>
      <c r="I6" s="1955"/>
      <c r="J6" s="1954" t="s">
        <v>959</v>
      </c>
      <c r="K6" s="1955"/>
    </row>
    <row r="7" spans="1:13" ht="25.5" customHeight="1">
      <c r="B7" s="1847" t="s">
        <v>255</v>
      </c>
      <c r="C7" s="1848"/>
      <c r="D7" s="1944">
        <v>7232702</v>
      </c>
      <c r="E7" s="1945"/>
      <c r="F7" s="1942">
        <f>ROUND(D7/D15*100,2)</f>
        <v>86.81</v>
      </c>
      <c r="G7" s="1943"/>
      <c r="H7" s="1944">
        <v>8224779</v>
      </c>
      <c r="I7" s="1961"/>
      <c r="J7" s="1942">
        <f>ROUND(H7/H15*100,2)</f>
        <v>85.58</v>
      </c>
      <c r="K7" s="1956"/>
    </row>
    <row r="8" spans="1:13" ht="25.5" customHeight="1">
      <c r="B8" s="1847" t="s">
        <v>256</v>
      </c>
      <c r="C8" s="1848"/>
      <c r="D8" s="1944">
        <v>898478</v>
      </c>
      <c r="E8" s="1945"/>
      <c r="F8" s="1942">
        <f>ROUND($D8/$D15*100,2)</f>
        <v>10.78</v>
      </c>
      <c r="G8" s="1943"/>
      <c r="H8" s="1957">
        <v>1088618</v>
      </c>
      <c r="I8" s="1958"/>
      <c r="J8" s="1942">
        <f>ROUND(H8/H15*100,2)</f>
        <v>11.33</v>
      </c>
      <c r="K8" s="1956"/>
    </row>
    <row r="9" spans="1:13" ht="25.5" customHeight="1">
      <c r="B9" s="1847" t="s">
        <v>257</v>
      </c>
      <c r="C9" s="1848"/>
      <c r="D9" s="1944">
        <v>16586</v>
      </c>
      <c r="E9" s="1945"/>
      <c r="F9" s="1942">
        <f>ROUND($D9/$D15*100,2)</f>
        <v>0.2</v>
      </c>
      <c r="G9" s="1943"/>
      <c r="H9" s="1957">
        <v>21863</v>
      </c>
      <c r="I9" s="1958"/>
      <c r="J9" s="1942">
        <f>ROUND(H9/H15*100,2)</f>
        <v>0.23</v>
      </c>
      <c r="K9" s="1956"/>
    </row>
    <row r="10" spans="1:13" ht="25.5" customHeight="1">
      <c r="B10" s="1847" t="s">
        <v>258</v>
      </c>
      <c r="C10" s="1848"/>
      <c r="D10" s="1944">
        <v>3181</v>
      </c>
      <c r="E10" s="1945"/>
      <c r="F10" s="1942">
        <f>ROUND($D10/$D15*100,2)</f>
        <v>0.04</v>
      </c>
      <c r="G10" s="1943"/>
      <c r="H10" s="1957">
        <v>3237</v>
      </c>
      <c r="I10" s="1958"/>
      <c r="J10" s="1942">
        <f>ROUND(H10/H15*100,2)</f>
        <v>0.03</v>
      </c>
      <c r="K10" s="1956"/>
    </row>
    <row r="11" spans="1:13" ht="25.5" customHeight="1">
      <c r="B11" s="1847" t="s">
        <v>259</v>
      </c>
      <c r="C11" s="1848"/>
      <c r="D11" s="1944">
        <v>1662</v>
      </c>
      <c r="E11" s="1945"/>
      <c r="F11" s="1942">
        <f>ROUND(D11/$D15*100,2)</f>
        <v>0.02</v>
      </c>
      <c r="G11" s="1943"/>
      <c r="H11" s="1957">
        <v>1637</v>
      </c>
      <c r="I11" s="1958"/>
      <c r="J11" s="1942">
        <f>ROUND(H11/H15*100,2)</f>
        <v>0.02</v>
      </c>
      <c r="K11" s="1956"/>
    </row>
    <row r="12" spans="1:13" ht="25.5" customHeight="1">
      <c r="B12" s="1847" t="s">
        <v>260</v>
      </c>
      <c r="C12" s="1848"/>
      <c r="D12" s="1944">
        <v>1770</v>
      </c>
      <c r="E12" s="1945"/>
      <c r="F12" s="1942">
        <f>ROUND($D12/$D15*100,2)</f>
        <v>0.02</v>
      </c>
      <c r="G12" s="1943"/>
      <c r="H12" s="1957">
        <v>1635</v>
      </c>
      <c r="I12" s="1958"/>
      <c r="J12" s="1942">
        <f>ROUND(H12/H15*100,2)-0.01</f>
        <v>0.01</v>
      </c>
      <c r="K12" s="1956"/>
    </row>
    <row r="13" spans="1:13" ht="25.5" customHeight="1">
      <c r="B13" s="1847" t="s">
        <v>1128</v>
      </c>
      <c r="C13" s="1848"/>
      <c r="D13" s="1944">
        <v>177533</v>
      </c>
      <c r="E13" s="1945"/>
      <c r="F13" s="1942">
        <f>ROUND($D13/$D15*100,2)</f>
        <v>2.13</v>
      </c>
      <c r="G13" s="1943"/>
      <c r="H13" s="1957">
        <v>262578</v>
      </c>
      <c r="I13" s="1958"/>
      <c r="J13" s="1942">
        <f>ROUND(H13/H15*100,2)</f>
        <v>2.73</v>
      </c>
      <c r="K13" s="1956"/>
    </row>
    <row r="14" spans="1:13" ht="25.5" customHeight="1">
      <c r="B14" s="1847" t="s">
        <v>1129</v>
      </c>
      <c r="C14" s="1848"/>
      <c r="D14" s="1948" t="s">
        <v>1279</v>
      </c>
      <c r="E14" s="1949"/>
      <c r="F14" s="1948" t="s">
        <v>1279</v>
      </c>
      <c r="G14" s="1949"/>
      <c r="H14" s="1962">
        <v>6441</v>
      </c>
      <c r="I14" s="1963"/>
      <c r="J14" s="1959">
        <f>ROUND(H14/H15*100,2)</f>
        <v>7.0000000000000007E-2</v>
      </c>
      <c r="K14" s="1960"/>
    </row>
    <row r="15" spans="1:13" ht="25.5" customHeight="1">
      <c r="B15" s="1946" t="s">
        <v>1406</v>
      </c>
      <c r="C15" s="1947"/>
      <c r="D15" s="1952">
        <f>SUM(D7:D14)</f>
        <v>8331912</v>
      </c>
      <c r="E15" s="1953"/>
      <c r="F15" s="1950">
        <f>SUM(F7:F14)</f>
        <v>100</v>
      </c>
      <c r="G15" s="1951"/>
      <c r="H15" s="1952">
        <f>SUM(H7:H14)</f>
        <v>9610788</v>
      </c>
      <c r="I15" s="1953"/>
      <c r="J15" s="1950">
        <f>SUM(J7:K14)</f>
        <v>100</v>
      </c>
      <c r="K15" s="1951"/>
    </row>
    <row r="16" spans="1:13" ht="13.5" customHeight="1">
      <c r="A16" s="7"/>
      <c r="B16" s="1140" t="s">
        <v>1210</v>
      </c>
      <c r="C16" s="118"/>
      <c r="I16" s="331"/>
      <c r="J16" s="331"/>
      <c r="K16" s="1141" t="s">
        <v>1039</v>
      </c>
    </row>
    <row r="17" spans="4:4">
      <c r="D17" s="6"/>
    </row>
  </sheetData>
  <mergeCells count="60">
    <mergeCell ref="I3:K3"/>
    <mergeCell ref="B1:K1"/>
    <mergeCell ref="B2:K2"/>
    <mergeCell ref="F7:G7"/>
    <mergeCell ref="H4:K4"/>
    <mergeCell ref="D4:G4"/>
    <mergeCell ref="F6:G6"/>
    <mergeCell ref="B6:C6"/>
    <mergeCell ref="J5:K5"/>
    <mergeCell ref="H5:I5"/>
    <mergeCell ref="B4:C5"/>
    <mergeCell ref="D5:E5"/>
    <mergeCell ref="D6:E6"/>
    <mergeCell ref="D7:E7"/>
    <mergeCell ref="F5:G5"/>
    <mergeCell ref="H11:I11"/>
    <mergeCell ref="J6:K6"/>
    <mergeCell ref="J7:K7"/>
    <mergeCell ref="J8:K8"/>
    <mergeCell ref="J9:K9"/>
    <mergeCell ref="B11:C11"/>
    <mergeCell ref="H15:I15"/>
    <mergeCell ref="H6:I6"/>
    <mergeCell ref="J12:K12"/>
    <mergeCell ref="J13:K13"/>
    <mergeCell ref="J10:K10"/>
    <mergeCell ref="H12:I12"/>
    <mergeCell ref="H13:I13"/>
    <mergeCell ref="J15:K15"/>
    <mergeCell ref="J14:K14"/>
    <mergeCell ref="J11:K11"/>
    <mergeCell ref="H7:I7"/>
    <mergeCell ref="H9:I9"/>
    <mergeCell ref="H8:I8"/>
    <mergeCell ref="H10:I10"/>
    <mergeCell ref="H14:I14"/>
    <mergeCell ref="F11:G11"/>
    <mergeCell ref="D11:E11"/>
    <mergeCell ref="F8:G8"/>
    <mergeCell ref="D8:E8"/>
    <mergeCell ref="B15:C15"/>
    <mergeCell ref="B12:C12"/>
    <mergeCell ref="D14:E14"/>
    <mergeCell ref="F14:G14"/>
    <mergeCell ref="F15:G15"/>
    <mergeCell ref="B14:C14"/>
    <mergeCell ref="B13:C13"/>
    <mergeCell ref="D12:E12"/>
    <mergeCell ref="D13:E13"/>
    <mergeCell ref="F12:G12"/>
    <mergeCell ref="D15:E15"/>
    <mergeCell ref="F13:G13"/>
    <mergeCell ref="B10:C10"/>
    <mergeCell ref="B7:C7"/>
    <mergeCell ref="B8:C8"/>
    <mergeCell ref="F10:G10"/>
    <mergeCell ref="F9:G9"/>
    <mergeCell ref="B9:C9"/>
    <mergeCell ref="D9:E9"/>
    <mergeCell ref="D10:E10"/>
  </mergeCells>
  <phoneticPr fontId="0" type="noConversion"/>
  <pageMargins left="0.1" right="0.1" top="1.07" bottom="0.1" header="0.92" footer="0.1"/>
  <pageSetup paperSize="9" orientation="landscape" blackAndWhite="1" r:id="rId1"/>
  <headerFooter alignWithMargins="0"/>
</worksheet>
</file>

<file path=xl/worksheets/sheet21.xml><?xml version="1.0" encoding="utf-8"?>
<worksheet xmlns="http://schemas.openxmlformats.org/spreadsheetml/2006/main" xmlns:r="http://schemas.openxmlformats.org/officeDocument/2006/relationships">
  <dimension ref="A1:AD41"/>
  <sheetViews>
    <sheetView workbookViewId="0">
      <selection activeCell="C3" sqref="C3"/>
    </sheetView>
  </sheetViews>
  <sheetFormatPr defaultRowHeight="12.75"/>
  <cols>
    <col min="1" max="1" width="22.5703125" customWidth="1"/>
    <col min="2" max="7" width="9.5703125" customWidth="1"/>
    <col min="8" max="13" width="8.7109375" customWidth="1"/>
    <col min="14" max="14" width="21.28515625" customWidth="1"/>
    <col min="15" max="15" width="6.5703125" customWidth="1"/>
    <col min="16" max="16" width="6.7109375" customWidth="1"/>
    <col min="17" max="18" width="6.5703125" customWidth="1"/>
    <col min="19" max="19" width="6.85546875" customWidth="1"/>
    <col min="20" max="21" width="6.28515625" customWidth="1"/>
    <col min="22" max="22" width="6.7109375" customWidth="1"/>
    <col min="23" max="23" width="6.42578125" customWidth="1"/>
    <col min="24" max="24" width="6.28515625" customWidth="1"/>
    <col min="25" max="25" width="7.140625" customWidth="1"/>
    <col min="26" max="26" width="6.42578125" customWidth="1"/>
    <col min="27" max="29" width="10.7109375" customWidth="1"/>
  </cols>
  <sheetData>
    <row r="1" spans="1:30" ht="12.75" customHeight="1">
      <c r="A1" s="1825" t="s">
        <v>798</v>
      </c>
      <c r="B1" s="1825"/>
      <c r="C1" s="1825"/>
      <c r="D1" s="1825"/>
      <c r="E1" s="1825"/>
      <c r="F1" s="1825"/>
      <c r="G1" s="1825"/>
      <c r="H1" s="1825"/>
      <c r="I1" s="1825"/>
      <c r="J1" s="1825"/>
      <c r="K1" s="1825"/>
      <c r="L1" s="1825"/>
      <c r="M1" s="1825"/>
    </row>
    <row r="2" spans="1:30" ht="15" customHeight="1">
      <c r="A2" s="1894" t="s">
        <v>616</v>
      </c>
      <c r="B2" s="1894"/>
      <c r="C2" s="1894"/>
      <c r="D2" s="1894"/>
      <c r="E2" s="1894"/>
      <c r="F2" s="1894"/>
      <c r="G2" s="1894"/>
      <c r="H2" s="1894"/>
      <c r="I2" s="1894"/>
      <c r="J2" s="1894"/>
      <c r="K2" s="1894"/>
      <c r="L2" s="1894"/>
      <c r="M2" s="1894"/>
      <c r="N2" s="1973" t="s">
        <v>890</v>
      </c>
      <c r="O2" s="1973"/>
      <c r="P2" s="1973"/>
      <c r="Q2" s="1973"/>
      <c r="R2" s="1973"/>
      <c r="S2" s="1973"/>
      <c r="T2" s="1973"/>
      <c r="U2" s="1973"/>
      <c r="V2" s="1973"/>
      <c r="W2" s="1973"/>
      <c r="X2" s="1973"/>
      <c r="Y2" s="1973"/>
      <c r="Z2" s="1973"/>
      <c r="AA2" s="1973"/>
      <c r="AB2" s="1973"/>
      <c r="AC2" s="1973"/>
    </row>
    <row r="3" spans="1:30" ht="14.25" customHeight="1">
      <c r="A3" s="483"/>
      <c r="B3" s="433"/>
      <c r="C3" s="433"/>
      <c r="D3" s="433"/>
      <c r="E3" s="433"/>
      <c r="F3" s="433"/>
      <c r="G3" s="433"/>
      <c r="H3" s="433"/>
      <c r="I3" s="433"/>
      <c r="J3" s="433"/>
      <c r="K3" s="433"/>
      <c r="L3" s="433"/>
      <c r="M3" s="896" t="s">
        <v>1001</v>
      </c>
      <c r="N3" s="691"/>
      <c r="O3" s="692"/>
      <c r="P3" s="692"/>
      <c r="Q3" s="692"/>
      <c r="R3" s="128"/>
      <c r="S3" s="128"/>
      <c r="T3" s="128"/>
      <c r="U3" s="128"/>
      <c r="V3" s="128"/>
      <c r="W3" s="128"/>
      <c r="X3" s="128"/>
      <c r="Y3" s="128"/>
      <c r="Z3" s="128"/>
      <c r="AA3" s="128"/>
      <c r="AB3" s="128"/>
      <c r="AC3" s="543" t="s">
        <v>1001</v>
      </c>
    </row>
    <row r="4" spans="1:30" s="693" customFormat="1" ht="13.5" customHeight="1">
      <c r="A4" s="1971" t="s">
        <v>162</v>
      </c>
      <c r="B4" s="1968" t="s">
        <v>255</v>
      </c>
      <c r="C4" s="1969"/>
      <c r="D4" s="1970"/>
      <c r="E4" s="1968" t="s">
        <v>256</v>
      </c>
      <c r="F4" s="1969"/>
      <c r="G4" s="1970"/>
      <c r="H4" s="1968" t="s">
        <v>257</v>
      </c>
      <c r="I4" s="1969"/>
      <c r="J4" s="1970"/>
      <c r="K4" s="1969" t="s">
        <v>258</v>
      </c>
      <c r="L4" s="1969"/>
      <c r="M4" s="1970"/>
      <c r="N4" s="1971" t="s">
        <v>248</v>
      </c>
      <c r="O4" s="1968" t="s">
        <v>259</v>
      </c>
      <c r="P4" s="1969"/>
      <c r="Q4" s="1970"/>
      <c r="R4" s="1968" t="s">
        <v>260</v>
      </c>
      <c r="S4" s="1969"/>
      <c r="T4" s="1970"/>
      <c r="U4" s="1968" t="s">
        <v>1128</v>
      </c>
      <c r="V4" s="1969"/>
      <c r="W4" s="1970"/>
      <c r="X4" s="1968" t="s">
        <v>1129</v>
      </c>
      <c r="Y4" s="1969"/>
      <c r="Z4" s="1970"/>
      <c r="AA4" s="1969" t="s">
        <v>1406</v>
      </c>
      <c r="AB4" s="1969"/>
      <c r="AC4" s="1970"/>
      <c r="AD4" s="694"/>
    </row>
    <row r="5" spans="1:30" s="693" customFormat="1" ht="13.5" customHeight="1">
      <c r="A5" s="1972"/>
      <c r="B5" s="1076" t="s">
        <v>1040</v>
      </c>
      <c r="C5" s="1077" t="s">
        <v>1041</v>
      </c>
      <c r="D5" s="1078" t="s">
        <v>979</v>
      </c>
      <c r="E5" s="1076" t="s">
        <v>1040</v>
      </c>
      <c r="F5" s="1077" t="s">
        <v>1041</v>
      </c>
      <c r="G5" s="1078" t="s">
        <v>979</v>
      </c>
      <c r="H5" s="1076" t="s">
        <v>1040</v>
      </c>
      <c r="I5" s="1077" t="s">
        <v>1041</v>
      </c>
      <c r="J5" s="1078" t="s">
        <v>979</v>
      </c>
      <c r="K5" s="1077" t="s">
        <v>1040</v>
      </c>
      <c r="L5" s="1077" t="s">
        <v>1041</v>
      </c>
      <c r="M5" s="1078" t="s">
        <v>979</v>
      </c>
      <c r="N5" s="1972"/>
      <c r="O5" s="1076" t="s">
        <v>1040</v>
      </c>
      <c r="P5" s="1077" t="s">
        <v>1041</v>
      </c>
      <c r="Q5" s="1078" t="s">
        <v>979</v>
      </c>
      <c r="R5" s="1076" t="s">
        <v>1040</v>
      </c>
      <c r="S5" s="1077" t="s">
        <v>1041</v>
      </c>
      <c r="T5" s="1078" t="s">
        <v>979</v>
      </c>
      <c r="U5" s="1076" t="s">
        <v>1040</v>
      </c>
      <c r="V5" s="1077" t="s">
        <v>1041</v>
      </c>
      <c r="W5" s="1078" t="s">
        <v>979</v>
      </c>
      <c r="X5" s="1076" t="s">
        <v>1040</v>
      </c>
      <c r="Y5" s="1077" t="s">
        <v>1041</v>
      </c>
      <c r="Z5" s="1078" t="s">
        <v>979</v>
      </c>
      <c r="AA5" s="1077" t="s">
        <v>1040</v>
      </c>
      <c r="AB5" s="1077" t="s">
        <v>1041</v>
      </c>
      <c r="AC5" s="1078" t="s">
        <v>979</v>
      </c>
      <c r="AD5" s="694"/>
    </row>
    <row r="6" spans="1:30" s="693" customFormat="1" ht="12.75" customHeight="1">
      <c r="A6" s="1082" t="s">
        <v>955</v>
      </c>
      <c r="B6" s="1079" t="s">
        <v>956</v>
      </c>
      <c r="C6" s="1080" t="s">
        <v>957</v>
      </c>
      <c r="D6" s="1081" t="s">
        <v>958</v>
      </c>
      <c r="E6" s="1079" t="s">
        <v>959</v>
      </c>
      <c r="F6" s="1080" t="s">
        <v>961</v>
      </c>
      <c r="G6" s="1081" t="s">
        <v>962</v>
      </c>
      <c r="H6" s="1079" t="s">
        <v>990</v>
      </c>
      <c r="I6" s="1080" t="s">
        <v>991</v>
      </c>
      <c r="J6" s="1081" t="s">
        <v>992</v>
      </c>
      <c r="K6" s="1080" t="s">
        <v>993</v>
      </c>
      <c r="L6" s="1080" t="s">
        <v>1046</v>
      </c>
      <c r="M6" s="1081" t="s">
        <v>1048</v>
      </c>
      <c r="N6" s="1082" t="s">
        <v>955</v>
      </c>
      <c r="O6" s="1079" t="s">
        <v>1049</v>
      </c>
      <c r="P6" s="1080" t="s">
        <v>1050</v>
      </c>
      <c r="Q6" s="1081" t="s">
        <v>1051</v>
      </c>
      <c r="R6" s="1079" t="s">
        <v>1052</v>
      </c>
      <c r="S6" s="1080" t="s">
        <v>1054</v>
      </c>
      <c r="T6" s="1081" t="s">
        <v>1053</v>
      </c>
      <c r="U6" s="1079" t="s">
        <v>1431</v>
      </c>
      <c r="V6" s="1080" t="s">
        <v>1432</v>
      </c>
      <c r="W6" s="1081" t="s">
        <v>1433</v>
      </c>
      <c r="X6" s="1079" t="s">
        <v>340</v>
      </c>
      <c r="Y6" s="1080" t="s">
        <v>341</v>
      </c>
      <c r="Z6" s="1081" t="s">
        <v>342</v>
      </c>
      <c r="AA6" s="1080" t="s">
        <v>343</v>
      </c>
      <c r="AB6" s="1080" t="s">
        <v>344</v>
      </c>
      <c r="AC6" s="1081" t="s">
        <v>345</v>
      </c>
      <c r="AD6" s="694"/>
    </row>
    <row r="7" spans="1:30">
      <c r="A7" s="713" t="s">
        <v>1273</v>
      </c>
      <c r="B7" s="897">
        <f t="shared" ref="B7:M7" si="0">SUM(B8:B15)</f>
        <v>680204</v>
      </c>
      <c r="C7" s="898">
        <f t="shared" si="0"/>
        <v>641670</v>
      </c>
      <c r="D7" s="899">
        <f t="shared" si="0"/>
        <v>1321874</v>
      </c>
      <c r="E7" s="897">
        <f t="shared" si="0"/>
        <v>125646</v>
      </c>
      <c r="F7" s="898">
        <f t="shared" si="0"/>
        <v>118535</v>
      </c>
      <c r="G7" s="899">
        <f t="shared" si="0"/>
        <v>244181</v>
      </c>
      <c r="H7" s="897">
        <f t="shared" si="0"/>
        <v>45</v>
      </c>
      <c r="I7" s="898">
        <f t="shared" si="0"/>
        <v>59</v>
      </c>
      <c r="J7" s="899">
        <f t="shared" si="0"/>
        <v>104</v>
      </c>
      <c r="K7" s="898">
        <f t="shared" si="0"/>
        <v>43</v>
      </c>
      <c r="L7" s="898">
        <f t="shared" si="0"/>
        <v>52</v>
      </c>
      <c r="M7" s="899">
        <f t="shared" si="0"/>
        <v>95</v>
      </c>
      <c r="N7" s="713" t="s">
        <v>1273</v>
      </c>
      <c r="O7" s="897">
        <f t="shared" ref="O7:AC7" si="1">SUM(O8:O15)</f>
        <v>10</v>
      </c>
      <c r="P7" s="898">
        <f t="shared" si="1"/>
        <v>9</v>
      </c>
      <c r="Q7" s="899">
        <f t="shared" si="1"/>
        <v>19</v>
      </c>
      <c r="R7" s="897">
        <f t="shared" si="1"/>
        <v>163</v>
      </c>
      <c r="S7" s="898">
        <f t="shared" si="1"/>
        <v>151</v>
      </c>
      <c r="T7" s="899">
        <f t="shared" si="1"/>
        <v>314</v>
      </c>
      <c r="U7" s="897">
        <f t="shared" si="1"/>
        <v>76</v>
      </c>
      <c r="V7" s="898">
        <f t="shared" si="1"/>
        <v>76</v>
      </c>
      <c r="W7" s="899">
        <f t="shared" si="1"/>
        <v>152</v>
      </c>
      <c r="X7" s="897">
        <f t="shared" si="1"/>
        <v>376</v>
      </c>
      <c r="Y7" s="898">
        <f t="shared" si="1"/>
        <v>343</v>
      </c>
      <c r="Z7" s="899">
        <f t="shared" si="1"/>
        <v>719</v>
      </c>
      <c r="AA7" s="898">
        <f t="shared" si="1"/>
        <v>806563</v>
      </c>
      <c r="AB7" s="898">
        <f t="shared" si="1"/>
        <v>760895</v>
      </c>
      <c r="AC7" s="899">
        <f t="shared" si="1"/>
        <v>1567458</v>
      </c>
    </row>
    <row r="8" spans="1:30">
      <c r="A8" s="714" t="s">
        <v>200</v>
      </c>
      <c r="B8" s="57">
        <v>87917</v>
      </c>
      <c r="C8" s="8">
        <v>83387</v>
      </c>
      <c r="D8" s="56">
        <v>171304</v>
      </c>
      <c r="E8" s="57">
        <v>17081</v>
      </c>
      <c r="F8" s="8">
        <v>15973</v>
      </c>
      <c r="G8" s="56">
        <v>33054</v>
      </c>
      <c r="H8" s="57">
        <v>2</v>
      </c>
      <c r="I8" s="8">
        <v>2</v>
      </c>
      <c r="J8" s="56">
        <v>4</v>
      </c>
      <c r="K8" s="8" t="s">
        <v>1384</v>
      </c>
      <c r="L8" s="8">
        <v>1</v>
      </c>
      <c r="M8" s="56">
        <v>1</v>
      </c>
      <c r="N8" s="714" t="s">
        <v>200</v>
      </c>
      <c r="O8" s="57">
        <v>1</v>
      </c>
      <c r="P8" s="8" t="s">
        <v>1384</v>
      </c>
      <c r="Q8" s="56">
        <v>1</v>
      </c>
      <c r="R8" s="57" t="s">
        <v>1384</v>
      </c>
      <c r="S8" s="8">
        <v>1</v>
      </c>
      <c r="T8" s="56">
        <v>1</v>
      </c>
      <c r="U8" s="57">
        <v>1</v>
      </c>
      <c r="V8" s="8" t="s">
        <v>1384</v>
      </c>
      <c r="W8" s="56">
        <v>1</v>
      </c>
      <c r="X8" s="57">
        <v>29</v>
      </c>
      <c r="Y8" s="8">
        <v>27</v>
      </c>
      <c r="Z8" s="56">
        <v>56</v>
      </c>
      <c r="AA8" s="108">
        <f t="shared" ref="AA8:AB15" si="2">SUM(X8,U8,R8,O8,K8,H8,E8,B8)</f>
        <v>105031</v>
      </c>
      <c r="AB8" s="108">
        <f t="shared" si="2"/>
        <v>99391</v>
      </c>
      <c r="AC8" s="56">
        <f t="shared" ref="AC8:AC15" si="3">SUM(AA8:AB8)</f>
        <v>204422</v>
      </c>
    </row>
    <row r="9" spans="1:30">
      <c r="A9" s="714" t="s">
        <v>1386</v>
      </c>
      <c r="B9" s="57">
        <v>78395</v>
      </c>
      <c r="C9" s="8">
        <v>73234</v>
      </c>
      <c r="D9" s="56">
        <v>151629</v>
      </c>
      <c r="E9" s="57">
        <v>12541</v>
      </c>
      <c r="F9" s="8">
        <v>12040</v>
      </c>
      <c r="G9" s="56">
        <v>24581</v>
      </c>
      <c r="H9" s="57">
        <v>3</v>
      </c>
      <c r="I9" s="8">
        <v>1</v>
      </c>
      <c r="J9" s="56">
        <v>4</v>
      </c>
      <c r="K9" s="8">
        <v>10</v>
      </c>
      <c r="L9" s="8">
        <v>12</v>
      </c>
      <c r="M9" s="56">
        <v>22</v>
      </c>
      <c r="N9" s="714" t="s">
        <v>1386</v>
      </c>
      <c r="O9" s="57">
        <v>1</v>
      </c>
      <c r="P9" s="8">
        <v>1</v>
      </c>
      <c r="Q9" s="56">
        <v>2</v>
      </c>
      <c r="R9" s="57">
        <v>3</v>
      </c>
      <c r="S9" s="8">
        <v>4</v>
      </c>
      <c r="T9" s="56">
        <v>7</v>
      </c>
      <c r="U9" s="57">
        <v>6</v>
      </c>
      <c r="V9" s="8">
        <v>3</v>
      </c>
      <c r="W9" s="56">
        <v>9</v>
      </c>
      <c r="X9" s="57">
        <v>28</v>
      </c>
      <c r="Y9" s="8">
        <v>25</v>
      </c>
      <c r="Z9" s="56">
        <v>53</v>
      </c>
      <c r="AA9" s="108">
        <f t="shared" si="2"/>
        <v>90987</v>
      </c>
      <c r="AB9" s="108">
        <f t="shared" si="2"/>
        <v>85320</v>
      </c>
      <c r="AC9" s="56">
        <f t="shared" si="3"/>
        <v>176307</v>
      </c>
    </row>
    <row r="10" spans="1:30">
      <c r="A10" s="714" t="s">
        <v>1388</v>
      </c>
      <c r="B10" s="57">
        <v>119339</v>
      </c>
      <c r="C10" s="8">
        <v>113452</v>
      </c>
      <c r="D10" s="56">
        <v>232791</v>
      </c>
      <c r="E10" s="57">
        <v>33259</v>
      </c>
      <c r="F10" s="8">
        <v>31690</v>
      </c>
      <c r="G10" s="56">
        <v>64949</v>
      </c>
      <c r="H10" s="57">
        <v>21</v>
      </c>
      <c r="I10" s="8">
        <v>27</v>
      </c>
      <c r="J10" s="56">
        <v>48</v>
      </c>
      <c r="K10" s="8">
        <v>8</v>
      </c>
      <c r="L10" s="8">
        <v>13</v>
      </c>
      <c r="M10" s="56">
        <v>21</v>
      </c>
      <c r="N10" s="714" t="s">
        <v>1388</v>
      </c>
      <c r="O10" s="57">
        <v>2</v>
      </c>
      <c r="P10" s="8">
        <v>1</v>
      </c>
      <c r="Q10" s="56">
        <v>3</v>
      </c>
      <c r="R10" s="57" t="s">
        <v>1384</v>
      </c>
      <c r="S10" s="8">
        <v>1</v>
      </c>
      <c r="T10" s="56">
        <v>1</v>
      </c>
      <c r="U10" s="57">
        <v>53</v>
      </c>
      <c r="V10" s="8">
        <v>55</v>
      </c>
      <c r="W10" s="56">
        <v>108</v>
      </c>
      <c r="X10" s="57">
        <v>124</v>
      </c>
      <c r="Y10" s="8">
        <v>94</v>
      </c>
      <c r="Z10" s="56">
        <v>218</v>
      </c>
      <c r="AA10" s="108">
        <f t="shared" si="2"/>
        <v>152806</v>
      </c>
      <c r="AB10" s="108">
        <f t="shared" si="2"/>
        <v>145333</v>
      </c>
      <c r="AC10" s="56">
        <f t="shared" si="3"/>
        <v>298139</v>
      </c>
    </row>
    <row r="11" spans="1:30">
      <c r="A11" s="715" t="s">
        <v>1347</v>
      </c>
      <c r="B11" s="57">
        <v>105039</v>
      </c>
      <c r="C11" s="8">
        <v>99565</v>
      </c>
      <c r="D11" s="56">
        <v>204604</v>
      </c>
      <c r="E11" s="57">
        <v>26798</v>
      </c>
      <c r="F11" s="8">
        <v>25038</v>
      </c>
      <c r="G11" s="56">
        <v>51836</v>
      </c>
      <c r="H11" s="57">
        <v>9</v>
      </c>
      <c r="I11" s="8">
        <v>10</v>
      </c>
      <c r="J11" s="56">
        <v>19</v>
      </c>
      <c r="K11" s="8">
        <v>12</v>
      </c>
      <c r="L11" s="8">
        <v>10</v>
      </c>
      <c r="M11" s="56">
        <v>22</v>
      </c>
      <c r="N11" s="715" t="s">
        <v>1347</v>
      </c>
      <c r="O11" s="57">
        <v>3</v>
      </c>
      <c r="P11" s="8">
        <v>2</v>
      </c>
      <c r="Q11" s="56">
        <v>5</v>
      </c>
      <c r="R11" s="57">
        <v>160</v>
      </c>
      <c r="S11" s="8">
        <v>145</v>
      </c>
      <c r="T11" s="56">
        <v>305</v>
      </c>
      <c r="U11" s="57">
        <v>12</v>
      </c>
      <c r="V11" s="8">
        <v>12</v>
      </c>
      <c r="W11" s="56">
        <v>24</v>
      </c>
      <c r="X11" s="57">
        <v>34</v>
      </c>
      <c r="Y11" s="8">
        <v>33</v>
      </c>
      <c r="Z11" s="56">
        <v>67</v>
      </c>
      <c r="AA11" s="108">
        <f t="shared" si="2"/>
        <v>132067</v>
      </c>
      <c r="AB11" s="108">
        <f t="shared" si="2"/>
        <v>124815</v>
      </c>
      <c r="AC11" s="56">
        <f t="shared" si="3"/>
        <v>256882</v>
      </c>
    </row>
    <row r="12" spans="1:30">
      <c r="A12" s="714" t="s">
        <v>1390</v>
      </c>
      <c r="B12" s="57">
        <v>92984</v>
      </c>
      <c r="C12" s="8">
        <v>86337</v>
      </c>
      <c r="D12" s="56">
        <v>179321</v>
      </c>
      <c r="E12" s="57">
        <v>8874</v>
      </c>
      <c r="F12" s="8">
        <v>8179</v>
      </c>
      <c r="G12" s="56">
        <v>17053</v>
      </c>
      <c r="H12" s="57" t="s">
        <v>1384</v>
      </c>
      <c r="I12" s="8" t="s">
        <v>1384</v>
      </c>
      <c r="J12" s="56" t="s">
        <v>1384</v>
      </c>
      <c r="K12" s="8">
        <v>1</v>
      </c>
      <c r="L12" s="8">
        <v>2</v>
      </c>
      <c r="M12" s="56">
        <v>3</v>
      </c>
      <c r="N12" s="714" t="s">
        <v>1390</v>
      </c>
      <c r="O12" s="57">
        <v>1</v>
      </c>
      <c r="P12" s="8">
        <v>3</v>
      </c>
      <c r="Q12" s="56">
        <v>4</v>
      </c>
      <c r="R12" s="57" t="s">
        <v>1384</v>
      </c>
      <c r="S12" s="8" t="s">
        <v>1384</v>
      </c>
      <c r="T12" s="56" t="s">
        <v>1384</v>
      </c>
      <c r="U12" s="57" t="s">
        <v>1384</v>
      </c>
      <c r="V12" s="8" t="s">
        <v>1384</v>
      </c>
      <c r="W12" s="56" t="s">
        <v>1384</v>
      </c>
      <c r="X12" s="57">
        <v>59</v>
      </c>
      <c r="Y12" s="8">
        <v>62</v>
      </c>
      <c r="Z12" s="56">
        <v>121</v>
      </c>
      <c r="AA12" s="108">
        <f t="shared" si="2"/>
        <v>101919</v>
      </c>
      <c r="AB12" s="108">
        <f t="shared" si="2"/>
        <v>94583</v>
      </c>
      <c r="AC12" s="56">
        <f t="shared" si="3"/>
        <v>196502</v>
      </c>
    </row>
    <row r="13" spans="1:30">
      <c r="A13" s="714" t="s">
        <v>1391</v>
      </c>
      <c r="B13" s="57">
        <v>104742</v>
      </c>
      <c r="C13" s="8">
        <v>99218</v>
      </c>
      <c r="D13" s="56">
        <v>203960</v>
      </c>
      <c r="E13" s="57">
        <v>13082</v>
      </c>
      <c r="F13" s="8">
        <v>12311</v>
      </c>
      <c r="G13" s="56">
        <v>25393</v>
      </c>
      <c r="H13" s="57">
        <v>1</v>
      </c>
      <c r="I13" s="8">
        <v>3</v>
      </c>
      <c r="J13" s="56">
        <v>4</v>
      </c>
      <c r="K13" s="8">
        <v>2</v>
      </c>
      <c r="L13" s="8">
        <v>5</v>
      </c>
      <c r="M13" s="56">
        <v>7</v>
      </c>
      <c r="N13" s="714" t="s">
        <v>1391</v>
      </c>
      <c r="O13" s="57">
        <v>1</v>
      </c>
      <c r="P13" s="8">
        <v>2</v>
      </c>
      <c r="Q13" s="56">
        <v>3</v>
      </c>
      <c r="R13" s="57" t="s">
        <v>1384</v>
      </c>
      <c r="S13" s="8" t="s">
        <v>1384</v>
      </c>
      <c r="T13" s="56" t="s">
        <v>1384</v>
      </c>
      <c r="U13" s="57">
        <v>2</v>
      </c>
      <c r="V13" s="8">
        <v>2</v>
      </c>
      <c r="W13" s="56">
        <v>4</v>
      </c>
      <c r="X13" s="57">
        <v>49</v>
      </c>
      <c r="Y13" s="8">
        <v>42</v>
      </c>
      <c r="Z13" s="56">
        <v>91</v>
      </c>
      <c r="AA13" s="108">
        <f t="shared" si="2"/>
        <v>117879</v>
      </c>
      <c r="AB13" s="108">
        <f t="shared" si="2"/>
        <v>111583</v>
      </c>
      <c r="AC13" s="56">
        <f t="shared" si="3"/>
        <v>229462</v>
      </c>
    </row>
    <row r="14" spans="1:30">
      <c r="A14" s="716" t="s">
        <v>1345</v>
      </c>
      <c r="B14" s="57">
        <v>72358</v>
      </c>
      <c r="C14" s="8">
        <v>68245</v>
      </c>
      <c r="D14" s="56">
        <v>140603</v>
      </c>
      <c r="E14" s="57">
        <v>9786</v>
      </c>
      <c r="F14" s="8">
        <v>9430</v>
      </c>
      <c r="G14" s="56">
        <v>19216</v>
      </c>
      <c r="H14" s="57">
        <v>2</v>
      </c>
      <c r="I14" s="8" t="s">
        <v>1384</v>
      </c>
      <c r="J14" s="56">
        <v>2</v>
      </c>
      <c r="K14" s="8" t="s">
        <v>1384</v>
      </c>
      <c r="L14" s="8" t="s">
        <v>1384</v>
      </c>
      <c r="M14" s="56" t="s">
        <v>1384</v>
      </c>
      <c r="N14" s="716" t="s">
        <v>1345</v>
      </c>
      <c r="O14" s="57" t="s">
        <v>1384</v>
      </c>
      <c r="P14" s="8" t="s">
        <v>1384</v>
      </c>
      <c r="Q14" s="56" t="s">
        <v>1384</v>
      </c>
      <c r="R14" s="57" t="s">
        <v>1384</v>
      </c>
      <c r="S14" s="8" t="s">
        <v>1384</v>
      </c>
      <c r="T14" s="56" t="s">
        <v>1384</v>
      </c>
      <c r="U14" s="57">
        <v>1</v>
      </c>
      <c r="V14" s="8">
        <v>2</v>
      </c>
      <c r="W14" s="56">
        <v>3</v>
      </c>
      <c r="X14" s="57">
        <v>44</v>
      </c>
      <c r="Y14" s="8">
        <v>46</v>
      </c>
      <c r="Z14" s="56">
        <v>90</v>
      </c>
      <c r="AA14" s="108">
        <f t="shared" si="2"/>
        <v>82191</v>
      </c>
      <c r="AB14" s="108">
        <f t="shared" si="2"/>
        <v>77723</v>
      </c>
      <c r="AC14" s="56">
        <f t="shared" si="3"/>
        <v>159914</v>
      </c>
    </row>
    <row r="15" spans="1:30">
      <c r="A15" s="717" t="s">
        <v>1383</v>
      </c>
      <c r="B15" s="57">
        <v>19430</v>
      </c>
      <c r="C15" s="8">
        <v>18232</v>
      </c>
      <c r="D15" s="56">
        <v>37662</v>
      </c>
      <c r="E15" s="57">
        <v>4225</v>
      </c>
      <c r="F15" s="8">
        <v>3874</v>
      </c>
      <c r="G15" s="56">
        <v>8099</v>
      </c>
      <c r="H15" s="57">
        <v>7</v>
      </c>
      <c r="I15" s="8">
        <v>16</v>
      </c>
      <c r="J15" s="56">
        <v>23</v>
      </c>
      <c r="K15" s="8">
        <v>10</v>
      </c>
      <c r="L15" s="8">
        <v>9</v>
      </c>
      <c r="M15" s="56">
        <v>19</v>
      </c>
      <c r="N15" s="717" t="s">
        <v>1383</v>
      </c>
      <c r="O15" s="57">
        <v>1</v>
      </c>
      <c r="P15" s="8" t="s">
        <v>1384</v>
      </c>
      <c r="Q15" s="56">
        <v>1</v>
      </c>
      <c r="R15" s="57" t="s">
        <v>1384</v>
      </c>
      <c r="S15" s="8" t="s">
        <v>1384</v>
      </c>
      <c r="T15" s="56" t="s">
        <v>1384</v>
      </c>
      <c r="U15" s="57">
        <v>1</v>
      </c>
      <c r="V15" s="8">
        <v>2</v>
      </c>
      <c r="W15" s="56">
        <v>3</v>
      </c>
      <c r="X15" s="57">
        <v>9</v>
      </c>
      <c r="Y15" s="8">
        <v>14</v>
      </c>
      <c r="Z15" s="56">
        <v>23</v>
      </c>
      <c r="AA15" s="108">
        <f t="shared" si="2"/>
        <v>23683</v>
      </c>
      <c r="AB15" s="108">
        <f t="shared" si="2"/>
        <v>22147</v>
      </c>
      <c r="AC15" s="56">
        <f t="shared" si="3"/>
        <v>45830</v>
      </c>
    </row>
    <row r="16" spans="1:30">
      <c r="A16" s="718" t="s">
        <v>842</v>
      </c>
      <c r="B16" s="900">
        <f t="shared" ref="B16:M16" si="4">SUM(B17:B22)</f>
        <v>337213</v>
      </c>
      <c r="C16" s="890">
        <f t="shared" si="4"/>
        <v>317390</v>
      </c>
      <c r="D16" s="901">
        <f t="shared" si="4"/>
        <v>654603</v>
      </c>
      <c r="E16" s="900">
        <f t="shared" si="4"/>
        <v>83687</v>
      </c>
      <c r="F16" s="890">
        <f t="shared" si="4"/>
        <v>80052</v>
      </c>
      <c r="G16" s="901">
        <f t="shared" si="4"/>
        <v>163739</v>
      </c>
      <c r="H16" s="900">
        <f t="shared" si="4"/>
        <v>519</v>
      </c>
      <c r="I16" s="890">
        <f t="shared" si="4"/>
        <v>430</v>
      </c>
      <c r="J16" s="901">
        <f t="shared" si="4"/>
        <v>949</v>
      </c>
      <c r="K16" s="890">
        <f t="shared" si="4"/>
        <v>105</v>
      </c>
      <c r="L16" s="890">
        <f t="shared" si="4"/>
        <v>57</v>
      </c>
      <c r="M16" s="901">
        <f t="shared" si="4"/>
        <v>162</v>
      </c>
      <c r="N16" s="720" t="s">
        <v>842</v>
      </c>
      <c r="O16" s="900">
        <f t="shared" ref="O16:AC16" si="5">SUM(O17:O22)</f>
        <v>66</v>
      </c>
      <c r="P16" s="890">
        <f t="shared" si="5"/>
        <v>32</v>
      </c>
      <c r="Q16" s="901">
        <f t="shared" si="5"/>
        <v>98</v>
      </c>
      <c r="R16" s="900">
        <f t="shared" si="5"/>
        <v>7</v>
      </c>
      <c r="S16" s="890">
        <f t="shared" si="5"/>
        <v>4</v>
      </c>
      <c r="T16" s="901">
        <f t="shared" si="5"/>
        <v>11</v>
      </c>
      <c r="U16" s="900">
        <f t="shared" si="5"/>
        <v>117</v>
      </c>
      <c r="V16" s="890">
        <f t="shared" si="5"/>
        <v>111</v>
      </c>
      <c r="W16" s="901">
        <f t="shared" si="5"/>
        <v>228</v>
      </c>
      <c r="X16" s="900">
        <f t="shared" si="5"/>
        <v>181</v>
      </c>
      <c r="Y16" s="890">
        <f t="shared" si="5"/>
        <v>178</v>
      </c>
      <c r="Z16" s="901">
        <f t="shared" si="5"/>
        <v>359</v>
      </c>
      <c r="AA16" s="890">
        <f t="shared" si="5"/>
        <v>421895</v>
      </c>
      <c r="AB16" s="890">
        <f t="shared" si="5"/>
        <v>398254</v>
      </c>
      <c r="AC16" s="901">
        <f t="shared" si="5"/>
        <v>820149</v>
      </c>
      <c r="AD16" s="695"/>
    </row>
    <row r="17" spans="1:29">
      <c r="A17" s="714" t="s">
        <v>1393</v>
      </c>
      <c r="B17" s="57">
        <v>76019</v>
      </c>
      <c r="C17" s="8">
        <v>72493</v>
      </c>
      <c r="D17" s="56">
        <v>148512</v>
      </c>
      <c r="E17" s="57">
        <v>16938</v>
      </c>
      <c r="F17" s="8">
        <v>16097</v>
      </c>
      <c r="G17" s="56">
        <v>33035</v>
      </c>
      <c r="H17" s="57">
        <v>248</v>
      </c>
      <c r="I17" s="8">
        <v>231</v>
      </c>
      <c r="J17" s="56">
        <v>479</v>
      </c>
      <c r="K17" s="8">
        <v>6</v>
      </c>
      <c r="L17" s="8">
        <v>2</v>
      </c>
      <c r="M17" s="56">
        <v>8</v>
      </c>
      <c r="N17" s="714" t="s">
        <v>1393</v>
      </c>
      <c r="O17" s="57">
        <v>5</v>
      </c>
      <c r="P17" s="8">
        <v>5</v>
      </c>
      <c r="Q17" s="56">
        <v>10</v>
      </c>
      <c r="R17" s="57">
        <v>1</v>
      </c>
      <c r="S17" s="8">
        <v>2</v>
      </c>
      <c r="T17" s="56">
        <v>3</v>
      </c>
      <c r="U17" s="57">
        <v>34</v>
      </c>
      <c r="V17" s="8">
        <v>48</v>
      </c>
      <c r="W17" s="56">
        <v>82</v>
      </c>
      <c r="X17" s="57">
        <v>33</v>
      </c>
      <c r="Y17" s="8">
        <v>29</v>
      </c>
      <c r="Z17" s="56">
        <v>62</v>
      </c>
      <c r="AA17" s="108">
        <f t="shared" ref="AA17:AB22" si="6">SUM(X17,U17,R17,O17,K17,H17,E17,B17)</f>
        <v>93284</v>
      </c>
      <c r="AB17" s="108">
        <f t="shared" si="6"/>
        <v>88907</v>
      </c>
      <c r="AC17" s="56">
        <f t="shared" ref="AC17:AC22" si="7">SUM(AA17:AB17)</f>
        <v>182191</v>
      </c>
    </row>
    <row r="18" spans="1:29">
      <c r="A18" s="714" t="s">
        <v>1395</v>
      </c>
      <c r="B18" s="57">
        <v>60703</v>
      </c>
      <c r="C18" s="8">
        <v>58096</v>
      </c>
      <c r="D18" s="56">
        <v>118799</v>
      </c>
      <c r="E18" s="57">
        <v>28284</v>
      </c>
      <c r="F18" s="8">
        <v>27477</v>
      </c>
      <c r="G18" s="56">
        <v>55761</v>
      </c>
      <c r="H18" s="57">
        <v>46</v>
      </c>
      <c r="I18" s="8">
        <v>42</v>
      </c>
      <c r="J18" s="56">
        <v>88</v>
      </c>
      <c r="K18" s="8" t="s">
        <v>1384</v>
      </c>
      <c r="L18" s="8" t="s">
        <v>1384</v>
      </c>
      <c r="M18" s="56" t="s">
        <v>1384</v>
      </c>
      <c r="N18" s="714" t="s">
        <v>1395</v>
      </c>
      <c r="O18" s="57">
        <v>2</v>
      </c>
      <c r="P18" s="8">
        <v>2</v>
      </c>
      <c r="Q18" s="56">
        <v>4</v>
      </c>
      <c r="R18" s="57" t="s">
        <v>1384</v>
      </c>
      <c r="S18" s="8" t="s">
        <v>1384</v>
      </c>
      <c r="T18" s="56" t="s">
        <v>1384</v>
      </c>
      <c r="U18" s="57" t="s">
        <v>1384</v>
      </c>
      <c r="V18" s="8" t="s">
        <v>1384</v>
      </c>
      <c r="W18" s="56" t="s">
        <v>1384</v>
      </c>
      <c r="X18" s="57">
        <v>18</v>
      </c>
      <c r="Y18" s="8">
        <v>21</v>
      </c>
      <c r="Z18" s="56">
        <v>39</v>
      </c>
      <c r="AA18" s="108">
        <f t="shared" si="6"/>
        <v>89053</v>
      </c>
      <c r="AB18" s="108">
        <f t="shared" si="6"/>
        <v>85638</v>
      </c>
      <c r="AC18" s="56">
        <f t="shared" si="7"/>
        <v>174691</v>
      </c>
    </row>
    <row r="19" spans="1:29">
      <c r="A19" s="714" t="s">
        <v>1396</v>
      </c>
      <c r="B19" s="57">
        <v>47605</v>
      </c>
      <c r="C19" s="8">
        <v>45819</v>
      </c>
      <c r="D19" s="56">
        <v>93424</v>
      </c>
      <c r="E19" s="57">
        <v>5589</v>
      </c>
      <c r="F19" s="8">
        <v>5546</v>
      </c>
      <c r="G19" s="56">
        <v>11135</v>
      </c>
      <c r="H19" s="57">
        <v>1</v>
      </c>
      <c r="I19" s="8" t="s">
        <v>1384</v>
      </c>
      <c r="J19" s="56">
        <v>1</v>
      </c>
      <c r="K19" s="8">
        <v>1</v>
      </c>
      <c r="L19" s="8">
        <v>1</v>
      </c>
      <c r="M19" s="56">
        <v>2</v>
      </c>
      <c r="N19" s="714" t="s">
        <v>1396</v>
      </c>
      <c r="O19" s="57" t="s">
        <v>1384</v>
      </c>
      <c r="P19" s="8" t="s">
        <v>1384</v>
      </c>
      <c r="Q19" s="56" t="s">
        <v>1384</v>
      </c>
      <c r="R19" s="57" t="s">
        <v>1384</v>
      </c>
      <c r="S19" s="8" t="s">
        <v>1384</v>
      </c>
      <c r="T19" s="56" t="s">
        <v>1384</v>
      </c>
      <c r="U19" s="57" t="s">
        <v>1384</v>
      </c>
      <c r="V19" s="8" t="s">
        <v>1384</v>
      </c>
      <c r="W19" s="56" t="s">
        <v>1384</v>
      </c>
      <c r="X19" s="57">
        <v>40</v>
      </c>
      <c r="Y19" s="8">
        <v>35</v>
      </c>
      <c r="Z19" s="56">
        <v>75</v>
      </c>
      <c r="AA19" s="108">
        <f t="shared" si="6"/>
        <v>53236</v>
      </c>
      <c r="AB19" s="108">
        <f t="shared" si="6"/>
        <v>51401</v>
      </c>
      <c r="AC19" s="56">
        <f t="shared" si="7"/>
        <v>104637</v>
      </c>
    </row>
    <row r="20" spans="1:29">
      <c r="A20" s="714" t="s">
        <v>1397</v>
      </c>
      <c r="B20" s="57">
        <v>40503</v>
      </c>
      <c r="C20" s="8">
        <v>38295</v>
      </c>
      <c r="D20" s="56">
        <v>78798</v>
      </c>
      <c r="E20" s="57">
        <v>13997</v>
      </c>
      <c r="F20" s="8">
        <v>13466</v>
      </c>
      <c r="G20" s="56">
        <v>27463</v>
      </c>
      <c r="H20" s="57">
        <v>6</v>
      </c>
      <c r="I20" s="8">
        <v>3</v>
      </c>
      <c r="J20" s="56">
        <v>9</v>
      </c>
      <c r="K20" s="8" t="s">
        <v>1384</v>
      </c>
      <c r="L20" s="8" t="s">
        <v>1384</v>
      </c>
      <c r="M20" s="56" t="s">
        <v>1384</v>
      </c>
      <c r="N20" s="714" t="s">
        <v>1397</v>
      </c>
      <c r="O20" s="57">
        <v>1</v>
      </c>
      <c r="P20" s="8" t="s">
        <v>1384</v>
      </c>
      <c r="Q20" s="56">
        <v>1</v>
      </c>
      <c r="R20" s="57" t="s">
        <v>1384</v>
      </c>
      <c r="S20" s="8" t="s">
        <v>1384</v>
      </c>
      <c r="T20" s="56" t="s">
        <v>1384</v>
      </c>
      <c r="U20" s="57" t="s">
        <v>1384</v>
      </c>
      <c r="V20" s="8" t="s">
        <v>1384</v>
      </c>
      <c r="W20" s="56" t="s">
        <v>1384</v>
      </c>
      <c r="X20" s="57">
        <v>36</v>
      </c>
      <c r="Y20" s="8">
        <v>31</v>
      </c>
      <c r="Z20" s="56">
        <v>67</v>
      </c>
      <c r="AA20" s="108">
        <f t="shared" si="6"/>
        <v>54543</v>
      </c>
      <c r="AB20" s="108">
        <f t="shared" si="6"/>
        <v>51795</v>
      </c>
      <c r="AC20" s="56">
        <f t="shared" si="7"/>
        <v>106338</v>
      </c>
    </row>
    <row r="21" spans="1:29">
      <c r="A21" s="714" t="s">
        <v>1399</v>
      </c>
      <c r="B21" s="57">
        <v>35716</v>
      </c>
      <c r="C21" s="8">
        <v>33762</v>
      </c>
      <c r="D21" s="56">
        <v>69478</v>
      </c>
      <c r="E21" s="57">
        <v>6133</v>
      </c>
      <c r="F21" s="8">
        <v>5935</v>
      </c>
      <c r="G21" s="56">
        <v>12068</v>
      </c>
      <c r="H21" s="57">
        <v>1</v>
      </c>
      <c r="I21" s="8">
        <v>2</v>
      </c>
      <c r="J21" s="56">
        <v>3</v>
      </c>
      <c r="K21" s="8">
        <v>4</v>
      </c>
      <c r="L21" s="8" t="s">
        <v>1384</v>
      </c>
      <c r="M21" s="56">
        <v>4</v>
      </c>
      <c r="N21" s="714" t="s">
        <v>1399</v>
      </c>
      <c r="O21" s="57">
        <v>13</v>
      </c>
      <c r="P21" s="8">
        <v>10</v>
      </c>
      <c r="Q21" s="56">
        <v>23</v>
      </c>
      <c r="R21" s="57" t="s">
        <v>1384</v>
      </c>
      <c r="S21" s="8" t="s">
        <v>1384</v>
      </c>
      <c r="T21" s="56" t="s">
        <v>1384</v>
      </c>
      <c r="U21" s="57">
        <v>1</v>
      </c>
      <c r="V21" s="8">
        <v>2</v>
      </c>
      <c r="W21" s="56">
        <v>3</v>
      </c>
      <c r="X21" s="57">
        <v>18</v>
      </c>
      <c r="Y21" s="8">
        <v>22</v>
      </c>
      <c r="Z21" s="56">
        <v>40</v>
      </c>
      <c r="AA21" s="108">
        <f t="shared" si="6"/>
        <v>41886</v>
      </c>
      <c r="AB21" s="108">
        <f t="shared" si="6"/>
        <v>39733</v>
      </c>
      <c r="AC21" s="56">
        <f t="shared" si="7"/>
        <v>81619</v>
      </c>
    </row>
    <row r="22" spans="1:29">
      <c r="A22" s="714" t="s">
        <v>1400</v>
      </c>
      <c r="B22" s="57">
        <v>76667</v>
      </c>
      <c r="C22" s="8">
        <v>68925</v>
      </c>
      <c r="D22" s="56">
        <v>145592</v>
      </c>
      <c r="E22" s="57">
        <v>12746</v>
      </c>
      <c r="F22" s="8">
        <v>11531</v>
      </c>
      <c r="G22" s="56">
        <v>24277</v>
      </c>
      <c r="H22" s="57">
        <v>217</v>
      </c>
      <c r="I22" s="8">
        <v>152</v>
      </c>
      <c r="J22" s="56">
        <v>369</v>
      </c>
      <c r="K22" s="8">
        <v>94</v>
      </c>
      <c r="L22" s="8">
        <v>54</v>
      </c>
      <c r="M22" s="56">
        <v>148</v>
      </c>
      <c r="N22" s="714" t="s">
        <v>1400</v>
      </c>
      <c r="O22" s="57">
        <v>45</v>
      </c>
      <c r="P22" s="8">
        <v>15</v>
      </c>
      <c r="Q22" s="56">
        <v>60</v>
      </c>
      <c r="R22" s="57">
        <v>6</v>
      </c>
      <c r="S22" s="8">
        <v>2</v>
      </c>
      <c r="T22" s="56">
        <v>8</v>
      </c>
      <c r="U22" s="57">
        <v>82</v>
      </c>
      <c r="V22" s="8">
        <v>61</v>
      </c>
      <c r="W22" s="56">
        <v>143</v>
      </c>
      <c r="X22" s="57">
        <v>36</v>
      </c>
      <c r="Y22" s="8">
        <v>40</v>
      </c>
      <c r="Z22" s="56">
        <v>76</v>
      </c>
      <c r="AA22" s="108">
        <f t="shared" si="6"/>
        <v>89893</v>
      </c>
      <c r="AB22" s="108">
        <f t="shared" si="6"/>
        <v>80780</v>
      </c>
      <c r="AC22" s="56">
        <f t="shared" si="7"/>
        <v>170673</v>
      </c>
    </row>
    <row r="23" spans="1:29">
      <c r="A23" s="718" t="s">
        <v>844</v>
      </c>
      <c r="B23" s="900">
        <f t="shared" ref="B23:M23" si="8">SUM(B24:B29)</f>
        <v>383049</v>
      </c>
      <c r="C23" s="890">
        <f t="shared" si="8"/>
        <v>364024</v>
      </c>
      <c r="D23" s="901">
        <f t="shared" si="8"/>
        <v>747073</v>
      </c>
      <c r="E23" s="900">
        <f t="shared" si="8"/>
        <v>40256</v>
      </c>
      <c r="F23" s="890">
        <f t="shared" si="8"/>
        <v>39864</v>
      </c>
      <c r="G23" s="901">
        <f t="shared" si="8"/>
        <v>80120</v>
      </c>
      <c r="H23" s="900">
        <f t="shared" si="8"/>
        <v>23</v>
      </c>
      <c r="I23" s="890">
        <f t="shared" si="8"/>
        <v>12</v>
      </c>
      <c r="J23" s="901">
        <f t="shared" si="8"/>
        <v>35</v>
      </c>
      <c r="K23" s="890">
        <f t="shared" si="8"/>
        <v>7</v>
      </c>
      <c r="L23" s="890">
        <f t="shared" si="8"/>
        <v>4</v>
      </c>
      <c r="M23" s="901">
        <f t="shared" si="8"/>
        <v>11</v>
      </c>
      <c r="N23" s="720" t="s">
        <v>844</v>
      </c>
      <c r="O23" s="900">
        <f t="shared" ref="O23:AC23" si="9">SUM(O24:O29)</f>
        <v>5</v>
      </c>
      <c r="P23" s="890">
        <f t="shared" si="9"/>
        <v>5</v>
      </c>
      <c r="Q23" s="901">
        <f t="shared" si="9"/>
        <v>10</v>
      </c>
      <c r="R23" s="900">
        <f t="shared" si="9"/>
        <v>0</v>
      </c>
      <c r="S23" s="890">
        <f t="shared" si="9"/>
        <v>1</v>
      </c>
      <c r="T23" s="901">
        <f t="shared" si="9"/>
        <v>1</v>
      </c>
      <c r="U23" s="900">
        <f t="shared" si="9"/>
        <v>48</v>
      </c>
      <c r="V23" s="890">
        <f t="shared" si="9"/>
        <v>43</v>
      </c>
      <c r="W23" s="901">
        <f t="shared" si="9"/>
        <v>91</v>
      </c>
      <c r="X23" s="900">
        <f t="shared" si="9"/>
        <v>188</v>
      </c>
      <c r="Y23" s="890">
        <f t="shared" si="9"/>
        <v>194</v>
      </c>
      <c r="Z23" s="901">
        <f t="shared" si="9"/>
        <v>382</v>
      </c>
      <c r="AA23" s="890">
        <f t="shared" si="9"/>
        <v>423576</v>
      </c>
      <c r="AB23" s="890">
        <f t="shared" si="9"/>
        <v>404147</v>
      </c>
      <c r="AC23" s="901">
        <f t="shared" si="9"/>
        <v>827723</v>
      </c>
    </row>
    <row r="24" spans="1:29">
      <c r="A24" s="714" t="s">
        <v>1269</v>
      </c>
      <c r="B24" s="57">
        <v>73326</v>
      </c>
      <c r="C24" s="8">
        <v>69516</v>
      </c>
      <c r="D24" s="56">
        <v>142842</v>
      </c>
      <c r="E24" s="57">
        <v>4294</v>
      </c>
      <c r="F24" s="8">
        <v>4411</v>
      </c>
      <c r="G24" s="56">
        <v>8705</v>
      </c>
      <c r="H24" s="57" t="s">
        <v>1384</v>
      </c>
      <c r="I24" s="8" t="s">
        <v>1384</v>
      </c>
      <c r="J24" s="56" t="s">
        <v>1384</v>
      </c>
      <c r="K24" s="8">
        <v>1</v>
      </c>
      <c r="L24" s="8">
        <v>1</v>
      </c>
      <c r="M24" s="56">
        <v>2</v>
      </c>
      <c r="N24" s="714" t="s">
        <v>1269</v>
      </c>
      <c r="O24" s="57" t="s">
        <v>1384</v>
      </c>
      <c r="P24" s="8" t="s">
        <v>1384</v>
      </c>
      <c r="Q24" s="56" t="s">
        <v>1384</v>
      </c>
      <c r="R24" s="57" t="s">
        <v>1384</v>
      </c>
      <c r="S24" s="8" t="s">
        <v>1384</v>
      </c>
      <c r="T24" s="56" t="s">
        <v>1384</v>
      </c>
      <c r="U24" s="57" t="s">
        <v>1384</v>
      </c>
      <c r="V24" s="8" t="s">
        <v>1384</v>
      </c>
      <c r="W24" s="56" t="s">
        <v>1384</v>
      </c>
      <c r="X24" s="57">
        <v>30</v>
      </c>
      <c r="Y24" s="8">
        <v>30</v>
      </c>
      <c r="Z24" s="56">
        <v>60</v>
      </c>
      <c r="AA24" s="108">
        <f t="shared" ref="AA24:AB29" si="10">SUM(X24,U24,R24,O24,K24,H24,E24,B24)</f>
        <v>77651</v>
      </c>
      <c r="AB24" s="108">
        <f t="shared" si="10"/>
        <v>73958</v>
      </c>
      <c r="AC24" s="56">
        <f t="shared" ref="AC24:AC29" si="11">SUM(AA24:AB24)</f>
        <v>151609</v>
      </c>
    </row>
    <row r="25" spans="1:29">
      <c r="A25" s="714" t="s">
        <v>1270</v>
      </c>
      <c r="B25" s="57">
        <v>69117</v>
      </c>
      <c r="C25" s="8">
        <v>65396</v>
      </c>
      <c r="D25" s="56">
        <v>134513</v>
      </c>
      <c r="E25" s="57">
        <v>8122</v>
      </c>
      <c r="F25" s="8">
        <v>7859</v>
      </c>
      <c r="G25" s="56">
        <v>15981</v>
      </c>
      <c r="H25" s="57">
        <v>6</v>
      </c>
      <c r="I25" s="8">
        <v>5</v>
      </c>
      <c r="J25" s="56">
        <v>11</v>
      </c>
      <c r="K25" s="8">
        <v>3</v>
      </c>
      <c r="L25" s="8">
        <v>2</v>
      </c>
      <c r="M25" s="56">
        <v>5</v>
      </c>
      <c r="N25" s="714" t="s">
        <v>1270</v>
      </c>
      <c r="O25" s="57">
        <v>2</v>
      </c>
      <c r="P25" s="8">
        <v>2</v>
      </c>
      <c r="Q25" s="56">
        <v>4</v>
      </c>
      <c r="R25" s="57" t="s">
        <v>1384</v>
      </c>
      <c r="S25" s="8">
        <v>1</v>
      </c>
      <c r="T25" s="56">
        <v>1</v>
      </c>
      <c r="U25" s="57" t="s">
        <v>1384</v>
      </c>
      <c r="V25" s="8" t="s">
        <v>1384</v>
      </c>
      <c r="W25" s="56" t="s">
        <v>1384</v>
      </c>
      <c r="X25" s="57">
        <v>18</v>
      </c>
      <c r="Y25" s="8">
        <v>18</v>
      </c>
      <c r="Z25" s="56">
        <v>36</v>
      </c>
      <c r="AA25" s="108">
        <f t="shared" si="10"/>
        <v>77268</v>
      </c>
      <c r="AB25" s="108">
        <f t="shared" si="10"/>
        <v>73283</v>
      </c>
      <c r="AC25" s="56">
        <f t="shared" si="11"/>
        <v>150551</v>
      </c>
    </row>
    <row r="26" spans="1:29">
      <c r="A26" s="714" t="s">
        <v>1412</v>
      </c>
      <c r="B26" s="57">
        <v>89109</v>
      </c>
      <c r="C26" s="8">
        <v>85052</v>
      </c>
      <c r="D26" s="56">
        <v>174161</v>
      </c>
      <c r="E26" s="57">
        <v>12507</v>
      </c>
      <c r="F26" s="8">
        <v>12174</v>
      </c>
      <c r="G26" s="56">
        <v>24681</v>
      </c>
      <c r="H26" s="57">
        <v>1</v>
      </c>
      <c r="I26" s="8" t="s">
        <v>1384</v>
      </c>
      <c r="J26" s="56">
        <v>1</v>
      </c>
      <c r="K26" s="8">
        <v>1</v>
      </c>
      <c r="L26" s="8" t="s">
        <v>1384</v>
      </c>
      <c r="M26" s="56">
        <v>1</v>
      </c>
      <c r="N26" s="714" t="s">
        <v>1412</v>
      </c>
      <c r="O26" s="57" t="s">
        <v>1384</v>
      </c>
      <c r="P26" s="8" t="s">
        <v>1384</v>
      </c>
      <c r="Q26" s="56" t="s">
        <v>1384</v>
      </c>
      <c r="R26" s="57" t="s">
        <v>1384</v>
      </c>
      <c r="S26" s="8" t="s">
        <v>1384</v>
      </c>
      <c r="T26" s="56" t="s">
        <v>1384</v>
      </c>
      <c r="U26" s="57">
        <v>1</v>
      </c>
      <c r="V26" s="8">
        <v>4</v>
      </c>
      <c r="W26" s="56">
        <v>5</v>
      </c>
      <c r="X26" s="57">
        <v>24</v>
      </c>
      <c r="Y26" s="8">
        <v>25</v>
      </c>
      <c r="Z26" s="56">
        <v>49</v>
      </c>
      <c r="AA26" s="108">
        <f t="shared" si="10"/>
        <v>101643</v>
      </c>
      <c r="AB26" s="108">
        <f t="shared" si="10"/>
        <v>97255</v>
      </c>
      <c r="AC26" s="56">
        <f t="shared" si="11"/>
        <v>198898</v>
      </c>
    </row>
    <row r="27" spans="1:29">
      <c r="A27" s="714" t="s">
        <v>1413</v>
      </c>
      <c r="B27" s="57">
        <v>64616</v>
      </c>
      <c r="C27" s="8">
        <v>61451</v>
      </c>
      <c r="D27" s="56">
        <v>126067</v>
      </c>
      <c r="E27" s="57">
        <v>9297</v>
      </c>
      <c r="F27" s="8">
        <v>9444</v>
      </c>
      <c r="G27" s="56">
        <v>18741</v>
      </c>
      <c r="H27" s="57">
        <v>4</v>
      </c>
      <c r="I27" s="8">
        <v>2</v>
      </c>
      <c r="J27" s="56">
        <v>6</v>
      </c>
      <c r="K27" s="8">
        <v>1</v>
      </c>
      <c r="L27" s="8" t="s">
        <v>1384</v>
      </c>
      <c r="M27" s="56">
        <v>1</v>
      </c>
      <c r="N27" s="714" t="s">
        <v>1413</v>
      </c>
      <c r="O27" s="57">
        <v>1</v>
      </c>
      <c r="P27" s="8" t="s">
        <v>1384</v>
      </c>
      <c r="Q27" s="56">
        <v>1</v>
      </c>
      <c r="R27" s="57" t="s">
        <v>1384</v>
      </c>
      <c r="S27" s="8" t="s">
        <v>1384</v>
      </c>
      <c r="T27" s="56" t="s">
        <v>1384</v>
      </c>
      <c r="U27" s="57">
        <v>45</v>
      </c>
      <c r="V27" s="8">
        <v>39</v>
      </c>
      <c r="W27" s="56">
        <v>84</v>
      </c>
      <c r="X27" s="57">
        <v>72</v>
      </c>
      <c r="Y27" s="8">
        <v>82</v>
      </c>
      <c r="Z27" s="56">
        <v>154</v>
      </c>
      <c r="AA27" s="108">
        <f t="shared" si="10"/>
        <v>74036</v>
      </c>
      <c r="AB27" s="108">
        <f t="shared" si="10"/>
        <v>71018</v>
      </c>
      <c r="AC27" s="56">
        <f t="shared" si="11"/>
        <v>145054</v>
      </c>
    </row>
    <row r="28" spans="1:29">
      <c r="A28" s="714" t="s">
        <v>1414</v>
      </c>
      <c r="B28" s="57">
        <v>75672</v>
      </c>
      <c r="C28" s="8">
        <v>71928</v>
      </c>
      <c r="D28" s="56">
        <v>147600</v>
      </c>
      <c r="E28" s="57">
        <v>4405</v>
      </c>
      <c r="F28" s="8">
        <v>4351</v>
      </c>
      <c r="G28" s="56">
        <v>8756</v>
      </c>
      <c r="H28" s="57">
        <v>4</v>
      </c>
      <c r="I28" s="8" t="s">
        <v>1384</v>
      </c>
      <c r="J28" s="56">
        <v>4</v>
      </c>
      <c r="K28" s="8">
        <v>1</v>
      </c>
      <c r="L28" s="8">
        <v>1</v>
      </c>
      <c r="M28" s="56">
        <v>2</v>
      </c>
      <c r="N28" s="714" t="s">
        <v>1414</v>
      </c>
      <c r="O28" s="57" t="s">
        <v>1384</v>
      </c>
      <c r="P28" s="8">
        <v>1</v>
      </c>
      <c r="Q28" s="56">
        <v>1</v>
      </c>
      <c r="R28" s="57" t="s">
        <v>1384</v>
      </c>
      <c r="S28" s="8" t="s">
        <v>1384</v>
      </c>
      <c r="T28" s="56" t="s">
        <v>1384</v>
      </c>
      <c r="U28" s="57" t="s">
        <v>1384</v>
      </c>
      <c r="V28" s="8" t="s">
        <v>1384</v>
      </c>
      <c r="W28" s="56" t="s">
        <v>1384</v>
      </c>
      <c r="X28" s="57">
        <v>38</v>
      </c>
      <c r="Y28" s="8">
        <v>30</v>
      </c>
      <c r="Z28" s="56">
        <v>68</v>
      </c>
      <c r="AA28" s="108">
        <f t="shared" si="10"/>
        <v>80120</v>
      </c>
      <c r="AB28" s="108">
        <f t="shared" si="10"/>
        <v>76311</v>
      </c>
      <c r="AC28" s="56">
        <f t="shared" si="11"/>
        <v>156431</v>
      </c>
    </row>
    <row r="29" spans="1:29">
      <c r="A29" s="714" t="s">
        <v>1415</v>
      </c>
      <c r="B29" s="57">
        <v>11209</v>
      </c>
      <c r="C29" s="8">
        <v>10681</v>
      </c>
      <c r="D29" s="56">
        <v>21890</v>
      </c>
      <c r="E29" s="57">
        <v>1631</v>
      </c>
      <c r="F29" s="8">
        <v>1625</v>
      </c>
      <c r="G29" s="56">
        <v>3256</v>
      </c>
      <c r="H29" s="57">
        <v>8</v>
      </c>
      <c r="I29" s="8">
        <v>5</v>
      </c>
      <c r="J29" s="56">
        <v>13</v>
      </c>
      <c r="K29" s="8" t="s">
        <v>1384</v>
      </c>
      <c r="L29" s="8" t="s">
        <v>1384</v>
      </c>
      <c r="M29" s="56" t="s">
        <v>1384</v>
      </c>
      <c r="N29" s="714" t="s">
        <v>1415</v>
      </c>
      <c r="O29" s="57">
        <v>2</v>
      </c>
      <c r="P29" s="8">
        <v>2</v>
      </c>
      <c r="Q29" s="56">
        <v>4</v>
      </c>
      <c r="R29" s="57" t="s">
        <v>1384</v>
      </c>
      <c r="S29" s="8" t="s">
        <v>1384</v>
      </c>
      <c r="T29" s="56" t="s">
        <v>1384</v>
      </c>
      <c r="U29" s="57">
        <v>2</v>
      </c>
      <c r="V29" s="8" t="s">
        <v>1384</v>
      </c>
      <c r="W29" s="56">
        <v>2</v>
      </c>
      <c r="X29" s="57">
        <v>6</v>
      </c>
      <c r="Y29" s="8">
        <v>9</v>
      </c>
      <c r="Z29" s="56">
        <v>15</v>
      </c>
      <c r="AA29" s="108">
        <f t="shared" si="10"/>
        <v>12858</v>
      </c>
      <c r="AB29" s="108">
        <f t="shared" si="10"/>
        <v>12322</v>
      </c>
      <c r="AC29" s="56">
        <f t="shared" si="11"/>
        <v>25180</v>
      </c>
    </row>
    <row r="30" spans="1:29">
      <c r="A30" s="718" t="s">
        <v>843</v>
      </c>
      <c r="B30" s="900">
        <f t="shared" ref="B30:M30" si="12">SUM(B31:B39)</f>
        <v>563850</v>
      </c>
      <c r="C30" s="890">
        <f t="shared" si="12"/>
        <v>534776</v>
      </c>
      <c r="D30" s="901">
        <f t="shared" si="12"/>
        <v>1098626</v>
      </c>
      <c r="E30" s="900">
        <f t="shared" si="12"/>
        <v>52021</v>
      </c>
      <c r="F30" s="890">
        <f t="shared" si="12"/>
        <v>50611</v>
      </c>
      <c r="G30" s="901">
        <f t="shared" si="12"/>
        <v>102632</v>
      </c>
      <c r="H30" s="900">
        <f t="shared" si="12"/>
        <v>120</v>
      </c>
      <c r="I30" s="890">
        <f t="shared" si="12"/>
        <v>109</v>
      </c>
      <c r="J30" s="901">
        <f t="shared" si="12"/>
        <v>229</v>
      </c>
      <c r="K30" s="890">
        <f t="shared" si="12"/>
        <v>72</v>
      </c>
      <c r="L30" s="890">
        <f t="shared" si="12"/>
        <v>38</v>
      </c>
      <c r="M30" s="901">
        <f t="shared" si="12"/>
        <v>110</v>
      </c>
      <c r="N30" s="720" t="s">
        <v>843</v>
      </c>
      <c r="O30" s="900">
        <f t="shared" ref="O30:AC30" si="13">SUM(O31:O39)</f>
        <v>19</v>
      </c>
      <c r="P30" s="890">
        <f t="shared" si="13"/>
        <v>12</v>
      </c>
      <c r="Q30" s="901">
        <f t="shared" si="13"/>
        <v>31</v>
      </c>
      <c r="R30" s="900">
        <f t="shared" si="13"/>
        <v>7</v>
      </c>
      <c r="S30" s="890">
        <f t="shared" si="13"/>
        <v>13</v>
      </c>
      <c r="T30" s="901">
        <f t="shared" si="13"/>
        <v>20</v>
      </c>
      <c r="U30" s="900">
        <f t="shared" si="13"/>
        <v>50</v>
      </c>
      <c r="V30" s="890">
        <f t="shared" si="13"/>
        <v>69</v>
      </c>
      <c r="W30" s="901">
        <f t="shared" si="13"/>
        <v>119</v>
      </c>
      <c r="X30" s="900">
        <f t="shared" si="13"/>
        <v>149</v>
      </c>
      <c r="Y30" s="890">
        <f t="shared" si="13"/>
        <v>131</v>
      </c>
      <c r="Z30" s="901">
        <f t="shared" si="13"/>
        <v>280</v>
      </c>
      <c r="AA30" s="890">
        <f t="shared" si="13"/>
        <v>616288</v>
      </c>
      <c r="AB30" s="890">
        <f t="shared" si="13"/>
        <v>585759</v>
      </c>
      <c r="AC30" s="901">
        <f t="shared" si="13"/>
        <v>1202047</v>
      </c>
    </row>
    <row r="31" spans="1:29">
      <c r="A31" s="714" t="s">
        <v>1419</v>
      </c>
      <c r="B31" s="57">
        <v>54399</v>
      </c>
      <c r="C31" s="8">
        <v>51404</v>
      </c>
      <c r="D31" s="56">
        <v>105803</v>
      </c>
      <c r="E31" s="57">
        <v>4417</v>
      </c>
      <c r="F31" s="8">
        <v>4387</v>
      </c>
      <c r="G31" s="56">
        <v>8804</v>
      </c>
      <c r="H31" s="57">
        <v>10</v>
      </c>
      <c r="I31" s="8">
        <v>6</v>
      </c>
      <c r="J31" s="56">
        <v>16</v>
      </c>
      <c r="K31" s="8">
        <v>1</v>
      </c>
      <c r="L31" s="8">
        <v>2</v>
      </c>
      <c r="M31" s="56">
        <v>3</v>
      </c>
      <c r="N31" s="714" t="s">
        <v>1419</v>
      </c>
      <c r="O31" s="57" t="s">
        <v>1384</v>
      </c>
      <c r="P31" s="8" t="s">
        <v>1384</v>
      </c>
      <c r="Q31" s="56" t="s">
        <v>1384</v>
      </c>
      <c r="R31" s="57" t="s">
        <v>1384</v>
      </c>
      <c r="S31" s="8" t="s">
        <v>1384</v>
      </c>
      <c r="T31" s="56" t="s">
        <v>1384</v>
      </c>
      <c r="U31" s="57" t="s">
        <v>1384</v>
      </c>
      <c r="V31" s="8" t="s">
        <v>1384</v>
      </c>
      <c r="W31" s="56" t="s">
        <v>1384</v>
      </c>
      <c r="X31" s="57">
        <v>8</v>
      </c>
      <c r="Y31" s="8">
        <v>9</v>
      </c>
      <c r="Z31" s="56">
        <v>17</v>
      </c>
      <c r="AA31" s="108">
        <f t="shared" ref="AA31:AA39" si="14">SUM(X31,U31,R31,O31,K31,H31,E31,B31)</f>
        <v>58835</v>
      </c>
      <c r="AB31" s="108">
        <f t="shared" ref="AB31:AB39" si="15">SUM(Y31,V31,S31,P31,L31,I31,F31,C31)</f>
        <v>55808</v>
      </c>
      <c r="AC31" s="56">
        <f t="shared" ref="AC31:AC39" si="16">SUM(AA31:AB31)</f>
        <v>114643</v>
      </c>
    </row>
    <row r="32" spans="1:29">
      <c r="A32" s="714" t="s">
        <v>1420</v>
      </c>
      <c r="B32" s="57">
        <v>56062</v>
      </c>
      <c r="C32" s="8">
        <v>53027</v>
      </c>
      <c r="D32" s="56">
        <v>109089</v>
      </c>
      <c r="E32" s="57">
        <v>4112</v>
      </c>
      <c r="F32" s="8">
        <v>4194</v>
      </c>
      <c r="G32" s="56">
        <v>8306</v>
      </c>
      <c r="H32" s="57">
        <v>17</v>
      </c>
      <c r="I32" s="8">
        <v>13</v>
      </c>
      <c r="J32" s="56">
        <v>30</v>
      </c>
      <c r="K32" s="8">
        <v>1</v>
      </c>
      <c r="L32" s="8" t="s">
        <v>1384</v>
      </c>
      <c r="M32" s="56">
        <v>1</v>
      </c>
      <c r="N32" s="714" t="s">
        <v>1420</v>
      </c>
      <c r="O32" s="57" t="s">
        <v>1384</v>
      </c>
      <c r="P32" s="8" t="s">
        <v>1384</v>
      </c>
      <c r="Q32" s="56" t="s">
        <v>1384</v>
      </c>
      <c r="R32" s="57" t="s">
        <v>1384</v>
      </c>
      <c r="S32" s="8" t="s">
        <v>1384</v>
      </c>
      <c r="T32" s="56" t="s">
        <v>1384</v>
      </c>
      <c r="U32" s="57" t="s">
        <v>1384</v>
      </c>
      <c r="V32" s="8" t="s">
        <v>1384</v>
      </c>
      <c r="W32" s="56" t="s">
        <v>1384</v>
      </c>
      <c r="X32" s="57">
        <v>5</v>
      </c>
      <c r="Y32" s="8">
        <v>7</v>
      </c>
      <c r="Z32" s="56">
        <v>12</v>
      </c>
      <c r="AA32" s="108">
        <f t="shared" si="14"/>
        <v>60197</v>
      </c>
      <c r="AB32" s="108">
        <f t="shared" si="15"/>
        <v>57241</v>
      </c>
      <c r="AC32" s="56">
        <f t="shared" si="16"/>
        <v>117438</v>
      </c>
    </row>
    <row r="33" spans="1:29">
      <c r="A33" s="714" t="s">
        <v>1422</v>
      </c>
      <c r="B33" s="57">
        <v>83709</v>
      </c>
      <c r="C33" s="8">
        <v>80307</v>
      </c>
      <c r="D33" s="56">
        <v>164016</v>
      </c>
      <c r="E33" s="57">
        <v>1714</v>
      </c>
      <c r="F33" s="8">
        <v>1643</v>
      </c>
      <c r="G33" s="56">
        <v>3357</v>
      </c>
      <c r="H33" s="57">
        <v>6</v>
      </c>
      <c r="I33" s="8">
        <v>9</v>
      </c>
      <c r="J33" s="56">
        <v>15</v>
      </c>
      <c r="K33" s="8">
        <v>6</v>
      </c>
      <c r="L33" s="8" t="s">
        <v>1384</v>
      </c>
      <c r="M33" s="56">
        <v>6</v>
      </c>
      <c r="N33" s="714" t="s">
        <v>1422</v>
      </c>
      <c r="O33" s="57">
        <v>3</v>
      </c>
      <c r="P33" s="8">
        <v>2</v>
      </c>
      <c r="Q33" s="56">
        <v>5</v>
      </c>
      <c r="R33" s="57" t="s">
        <v>1384</v>
      </c>
      <c r="S33" s="8" t="s">
        <v>1384</v>
      </c>
      <c r="T33" s="56" t="s">
        <v>1384</v>
      </c>
      <c r="U33" s="57">
        <v>42</v>
      </c>
      <c r="V33" s="8">
        <v>62</v>
      </c>
      <c r="W33" s="56">
        <v>104</v>
      </c>
      <c r="X33" s="57">
        <v>26</v>
      </c>
      <c r="Y33" s="8">
        <v>22</v>
      </c>
      <c r="Z33" s="56">
        <v>48</v>
      </c>
      <c r="AA33" s="108">
        <f t="shared" si="14"/>
        <v>85506</v>
      </c>
      <c r="AB33" s="108">
        <f t="shared" si="15"/>
        <v>82045</v>
      </c>
      <c r="AC33" s="56">
        <f t="shared" si="16"/>
        <v>167551</v>
      </c>
    </row>
    <row r="34" spans="1:29">
      <c r="A34" s="714" t="s">
        <v>1423</v>
      </c>
      <c r="B34" s="57">
        <v>65571</v>
      </c>
      <c r="C34" s="8">
        <v>62563</v>
      </c>
      <c r="D34" s="56">
        <v>128134</v>
      </c>
      <c r="E34" s="57">
        <v>8463</v>
      </c>
      <c r="F34" s="8">
        <v>8728</v>
      </c>
      <c r="G34" s="56">
        <v>17191</v>
      </c>
      <c r="H34" s="57">
        <v>19</v>
      </c>
      <c r="I34" s="8">
        <v>17</v>
      </c>
      <c r="J34" s="56">
        <v>36</v>
      </c>
      <c r="K34" s="8">
        <v>12</v>
      </c>
      <c r="L34" s="8">
        <v>6</v>
      </c>
      <c r="M34" s="56">
        <v>18</v>
      </c>
      <c r="N34" s="714" t="s">
        <v>1423</v>
      </c>
      <c r="O34" s="57">
        <v>6</v>
      </c>
      <c r="P34" s="8">
        <v>6</v>
      </c>
      <c r="Q34" s="56">
        <v>12</v>
      </c>
      <c r="R34" s="57" t="s">
        <v>1384</v>
      </c>
      <c r="S34" s="8" t="s">
        <v>1384</v>
      </c>
      <c r="T34" s="56" t="s">
        <v>1384</v>
      </c>
      <c r="U34" s="57" t="s">
        <v>1384</v>
      </c>
      <c r="V34" s="8" t="s">
        <v>1384</v>
      </c>
      <c r="W34" s="56" t="s">
        <v>1384</v>
      </c>
      <c r="X34" s="57">
        <v>11</v>
      </c>
      <c r="Y34" s="8">
        <v>11</v>
      </c>
      <c r="Z34" s="56">
        <v>22</v>
      </c>
      <c r="AA34" s="108">
        <f t="shared" si="14"/>
        <v>74082</v>
      </c>
      <c r="AB34" s="108">
        <f t="shared" si="15"/>
        <v>71331</v>
      </c>
      <c r="AC34" s="56">
        <f t="shared" si="16"/>
        <v>145413</v>
      </c>
    </row>
    <row r="35" spans="1:29">
      <c r="A35" s="714" t="s">
        <v>1425</v>
      </c>
      <c r="B35" s="57">
        <v>64943</v>
      </c>
      <c r="C35" s="8">
        <v>62018</v>
      </c>
      <c r="D35" s="56">
        <v>126961</v>
      </c>
      <c r="E35" s="57">
        <v>5123</v>
      </c>
      <c r="F35" s="8">
        <v>5224</v>
      </c>
      <c r="G35" s="56">
        <v>10347</v>
      </c>
      <c r="H35" s="57">
        <v>1</v>
      </c>
      <c r="I35" s="8">
        <v>3</v>
      </c>
      <c r="J35" s="56">
        <v>4</v>
      </c>
      <c r="K35" s="8">
        <v>10</v>
      </c>
      <c r="L35" s="8">
        <v>1</v>
      </c>
      <c r="M35" s="56">
        <v>11</v>
      </c>
      <c r="N35" s="714" t="s">
        <v>1425</v>
      </c>
      <c r="O35" s="57">
        <v>3</v>
      </c>
      <c r="P35" s="8">
        <v>2</v>
      </c>
      <c r="Q35" s="56">
        <v>5</v>
      </c>
      <c r="R35" s="57" t="s">
        <v>1384</v>
      </c>
      <c r="S35" s="8" t="s">
        <v>1384</v>
      </c>
      <c r="T35" s="56" t="s">
        <v>1384</v>
      </c>
      <c r="U35" s="57" t="s">
        <v>1384</v>
      </c>
      <c r="V35" s="8" t="s">
        <v>1384</v>
      </c>
      <c r="W35" s="56" t="s">
        <v>1384</v>
      </c>
      <c r="X35" s="57">
        <v>22</v>
      </c>
      <c r="Y35" s="8">
        <v>19</v>
      </c>
      <c r="Z35" s="56">
        <v>41</v>
      </c>
      <c r="AA35" s="108">
        <f t="shared" si="14"/>
        <v>70102</v>
      </c>
      <c r="AB35" s="108">
        <f t="shared" si="15"/>
        <v>67267</v>
      </c>
      <c r="AC35" s="56">
        <f t="shared" si="16"/>
        <v>137369</v>
      </c>
    </row>
    <row r="36" spans="1:29">
      <c r="A36" s="714" t="s">
        <v>1426</v>
      </c>
      <c r="B36" s="57">
        <v>71244</v>
      </c>
      <c r="C36" s="8">
        <v>67708</v>
      </c>
      <c r="D36" s="56">
        <v>138952</v>
      </c>
      <c r="E36" s="57">
        <v>6553</v>
      </c>
      <c r="F36" s="8">
        <v>6123</v>
      </c>
      <c r="G36" s="56">
        <v>12676</v>
      </c>
      <c r="H36" s="57">
        <v>18</v>
      </c>
      <c r="I36" s="8">
        <v>13</v>
      </c>
      <c r="J36" s="56">
        <v>31</v>
      </c>
      <c r="K36" s="8" t="s">
        <v>1384</v>
      </c>
      <c r="L36" s="8">
        <v>1</v>
      </c>
      <c r="M36" s="56">
        <v>1</v>
      </c>
      <c r="N36" s="714" t="s">
        <v>1426</v>
      </c>
      <c r="O36" s="57">
        <v>3</v>
      </c>
      <c r="P36" s="8" t="s">
        <v>1384</v>
      </c>
      <c r="Q36" s="56">
        <v>3</v>
      </c>
      <c r="R36" s="57" t="s">
        <v>1384</v>
      </c>
      <c r="S36" s="8" t="s">
        <v>1384</v>
      </c>
      <c r="T36" s="56" t="s">
        <v>1384</v>
      </c>
      <c r="U36" s="57" t="s">
        <v>1384</v>
      </c>
      <c r="V36" s="8" t="s">
        <v>1384</v>
      </c>
      <c r="W36" s="56" t="s">
        <v>1384</v>
      </c>
      <c r="X36" s="57">
        <v>25</v>
      </c>
      <c r="Y36" s="8">
        <v>18</v>
      </c>
      <c r="Z36" s="56">
        <v>43</v>
      </c>
      <c r="AA36" s="108">
        <f t="shared" si="14"/>
        <v>77843</v>
      </c>
      <c r="AB36" s="108">
        <f t="shared" si="15"/>
        <v>73863</v>
      </c>
      <c r="AC36" s="56">
        <f t="shared" si="16"/>
        <v>151706</v>
      </c>
    </row>
    <row r="37" spans="1:29">
      <c r="A37" s="716" t="s">
        <v>1429</v>
      </c>
      <c r="B37" s="57">
        <v>67269</v>
      </c>
      <c r="C37" s="8">
        <v>63209</v>
      </c>
      <c r="D37" s="56">
        <v>130478</v>
      </c>
      <c r="E37" s="57">
        <v>11574</v>
      </c>
      <c r="F37" s="8">
        <v>10963</v>
      </c>
      <c r="G37" s="56">
        <v>22537</v>
      </c>
      <c r="H37" s="57">
        <v>8</v>
      </c>
      <c r="I37" s="8">
        <v>9</v>
      </c>
      <c r="J37" s="56">
        <v>17</v>
      </c>
      <c r="K37" s="8">
        <v>1</v>
      </c>
      <c r="L37" s="8" t="s">
        <v>1384</v>
      </c>
      <c r="M37" s="56">
        <v>1</v>
      </c>
      <c r="N37" s="714" t="s">
        <v>1429</v>
      </c>
      <c r="O37" s="57">
        <v>3</v>
      </c>
      <c r="P37" s="8">
        <v>1</v>
      </c>
      <c r="Q37" s="56">
        <v>4</v>
      </c>
      <c r="R37" s="57" t="s">
        <v>1384</v>
      </c>
      <c r="S37" s="8" t="s">
        <v>1384</v>
      </c>
      <c r="T37" s="56" t="s">
        <v>1384</v>
      </c>
      <c r="U37" s="57" t="s">
        <v>1384</v>
      </c>
      <c r="V37" s="8" t="s">
        <v>1384</v>
      </c>
      <c r="W37" s="56" t="s">
        <v>1384</v>
      </c>
      <c r="X37" s="57">
        <v>13</v>
      </c>
      <c r="Y37" s="8">
        <v>15</v>
      </c>
      <c r="Z37" s="56">
        <v>28</v>
      </c>
      <c r="AA37" s="108">
        <f t="shared" si="14"/>
        <v>78868</v>
      </c>
      <c r="AB37" s="108">
        <f t="shared" si="15"/>
        <v>74197</v>
      </c>
      <c r="AC37" s="56">
        <f t="shared" si="16"/>
        <v>153065</v>
      </c>
    </row>
    <row r="38" spans="1:29">
      <c r="A38" s="716" t="s">
        <v>1346</v>
      </c>
      <c r="B38" s="57">
        <v>67931</v>
      </c>
      <c r="C38" s="8">
        <v>64453</v>
      </c>
      <c r="D38" s="56">
        <v>132384</v>
      </c>
      <c r="E38" s="57">
        <v>2481</v>
      </c>
      <c r="F38" s="8">
        <v>2383</v>
      </c>
      <c r="G38" s="56">
        <v>4864</v>
      </c>
      <c r="H38" s="57">
        <v>21</v>
      </c>
      <c r="I38" s="8">
        <v>22</v>
      </c>
      <c r="J38" s="56">
        <v>43</v>
      </c>
      <c r="K38" s="8" t="s">
        <v>1384</v>
      </c>
      <c r="L38" s="8">
        <v>1</v>
      </c>
      <c r="M38" s="56">
        <v>1</v>
      </c>
      <c r="N38" s="716" t="s">
        <v>1346</v>
      </c>
      <c r="O38" s="57" t="s">
        <v>1384</v>
      </c>
      <c r="P38" s="8">
        <v>1</v>
      </c>
      <c r="Q38" s="56">
        <v>1</v>
      </c>
      <c r="R38" s="57" t="s">
        <v>1384</v>
      </c>
      <c r="S38" s="8" t="s">
        <v>1384</v>
      </c>
      <c r="T38" s="56" t="s">
        <v>1384</v>
      </c>
      <c r="U38" s="57">
        <v>2</v>
      </c>
      <c r="V38" s="8">
        <v>1</v>
      </c>
      <c r="W38" s="56">
        <v>3</v>
      </c>
      <c r="X38" s="57">
        <v>31</v>
      </c>
      <c r="Y38" s="8">
        <v>22</v>
      </c>
      <c r="Z38" s="56">
        <v>53</v>
      </c>
      <c r="AA38" s="108">
        <f t="shared" si="14"/>
        <v>70466</v>
      </c>
      <c r="AB38" s="108">
        <f t="shared" si="15"/>
        <v>66883</v>
      </c>
      <c r="AC38" s="56">
        <f t="shared" si="16"/>
        <v>137349</v>
      </c>
    </row>
    <row r="39" spans="1:29">
      <c r="A39" s="719" t="s">
        <v>1427</v>
      </c>
      <c r="B39" s="33">
        <v>32722</v>
      </c>
      <c r="C39" s="902">
        <v>30087</v>
      </c>
      <c r="D39" s="54">
        <v>62809</v>
      </c>
      <c r="E39" s="33">
        <v>7584</v>
      </c>
      <c r="F39" s="902">
        <v>6966</v>
      </c>
      <c r="G39" s="54">
        <v>14550</v>
      </c>
      <c r="H39" s="33">
        <v>20</v>
      </c>
      <c r="I39" s="902">
        <v>17</v>
      </c>
      <c r="J39" s="54">
        <v>37</v>
      </c>
      <c r="K39" s="902">
        <v>41</v>
      </c>
      <c r="L39" s="902">
        <v>27</v>
      </c>
      <c r="M39" s="54">
        <v>68</v>
      </c>
      <c r="N39" s="719" t="s">
        <v>1427</v>
      </c>
      <c r="O39" s="33">
        <v>1</v>
      </c>
      <c r="P39" s="902" t="s">
        <v>1384</v>
      </c>
      <c r="Q39" s="54">
        <v>1</v>
      </c>
      <c r="R39" s="33">
        <v>7</v>
      </c>
      <c r="S39" s="902">
        <v>13</v>
      </c>
      <c r="T39" s="54">
        <v>20</v>
      </c>
      <c r="U39" s="33">
        <v>6</v>
      </c>
      <c r="V39" s="902">
        <v>6</v>
      </c>
      <c r="W39" s="54">
        <v>12</v>
      </c>
      <c r="X39" s="33">
        <v>8</v>
      </c>
      <c r="Y39" s="902">
        <v>8</v>
      </c>
      <c r="Z39" s="54">
        <v>16</v>
      </c>
      <c r="AA39" s="442">
        <f t="shared" si="14"/>
        <v>40389</v>
      </c>
      <c r="AB39" s="442">
        <f t="shared" si="15"/>
        <v>37124</v>
      </c>
      <c r="AC39" s="54">
        <f t="shared" si="16"/>
        <v>77513</v>
      </c>
    </row>
    <row r="40" spans="1:29">
      <c r="A40" s="696" t="s">
        <v>1098</v>
      </c>
      <c r="B40" s="903">
        <f t="shared" ref="B40:M40" si="17">SUM(B7,B16,B23,B30)</f>
        <v>1964316</v>
      </c>
      <c r="C40" s="904">
        <f t="shared" si="17"/>
        <v>1857860</v>
      </c>
      <c r="D40" s="905">
        <f t="shared" si="17"/>
        <v>3822176</v>
      </c>
      <c r="E40" s="903">
        <f t="shared" si="17"/>
        <v>301610</v>
      </c>
      <c r="F40" s="904">
        <f t="shared" si="17"/>
        <v>289062</v>
      </c>
      <c r="G40" s="905">
        <f t="shared" si="17"/>
        <v>590672</v>
      </c>
      <c r="H40" s="903">
        <f t="shared" si="17"/>
        <v>707</v>
      </c>
      <c r="I40" s="904">
        <f t="shared" si="17"/>
        <v>610</v>
      </c>
      <c r="J40" s="905">
        <f t="shared" si="17"/>
        <v>1317</v>
      </c>
      <c r="K40" s="904">
        <f t="shared" si="17"/>
        <v>227</v>
      </c>
      <c r="L40" s="904">
        <f t="shared" si="17"/>
        <v>151</v>
      </c>
      <c r="M40" s="905">
        <f t="shared" si="17"/>
        <v>378</v>
      </c>
      <c r="N40" s="696" t="s">
        <v>1098</v>
      </c>
      <c r="O40" s="903">
        <f t="shared" ref="O40:AC40" si="18">SUM(O7,O16,O23,O30)</f>
        <v>100</v>
      </c>
      <c r="P40" s="904">
        <f t="shared" si="18"/>
        <v>58</v>
      </c>
      <c r="Q40" s="905">
        <f t="shared" si="18"/>
        <v>158</v>
      </c>
      <c r="R40" s="903">
        <f t="shared" si="18"/>
        <v>177</v>
      </c>
      <c r="S40" s="904">
        <f t="shared" si="18"/>
        <v>169</v>
      </c>
      <c r="T40" s="905">
        <f t="shared" si="18"/>
        <v>346</v>
      </c>
      <c r="U40" s="903">
        <f t="shared" si="18"/>
        <v>291</v>
      </c>
      <c r="V40" s="904">
        <f t="shared" si="18"/>
        <v>299</v>
      </c>
      <c r="W40" s="905">
        <f t="shared" si="18"/>
        <v>590</v>
      </c>
      <c r="X40" s="903">
        <f t="shared" si="18"/>
        <v>894</v>
      </c>
      <c r="Y40" s="904">
        <f t="shared" si="18"/>
        <v>846</v>
      </c>
      <c r="Z40" s="905">
        <f t="shared" si="18"/>
        <v>1740</v>
      </c>
      <c r="AA40" s="904">
        <f t="shared" si="18"/>
        <v>2268322</v>
      </c>
      <c r="AB40" s="904">
        <f t="shared" si="18"/>
        <v>2149055</v>
      </c>
      <c r="AC40" s="905">
        <f t="shared" si="18"/>
        <v>4417377</v>
      </c>
    </row>
    <row r="41" spans="1:29">
      <c r="M41" s="1142" t="s">
        <v>444</v>
      </c>
      <c r="AC41" s="1143" t="s">
        <v>1130</v>
      </c>
    </row>
  </sheetData>
  <mergeCells count="14">
    <mergeCell ref="A1:M1"/>
    <mergeCell ref="A2:M2"/>
    <mergeCell ref="A4:A5"/>
    <mergeCell ref="B4:D4"/>
    <mergeCell ref="E4:G4"/>
    <mergeCell ref="H4:J4"/>
    <mergeCell ref="K4:M4"/>
    <mergeCell ref="O4:Q4"/>
    <mergeCell ref="N4:N5"/>
    <mergeCell ref="R4:T4"/>
    <mergeCell ref="N2:AC2"/>
    <mergeCell ref="U4:W4"/>
    <mergeCell ref="X4:Z4"/>
    <mergeCell ref="AA4:AC4"/>
  </mergeCells>
  <phoneticPr fontId="0" type="noConversion"/>
  <printOptions horizontalCentered="1"/>
  <pageMargins left="0.2" right="0.2" top="0.56000000000000005" bottom="0.5" header="0.5" footer="0.5"/>
  <pageSetup paperSize="9" orientation="landscape" blackAndWhite="1" r:id="rId1"/>
  <headerFooter alignWithMargins="0"/>
</worksheet>
</file>

<file path=xl/worksheets/sheet22.xml><?xml version="1.0" encoding="utf-8"?>
<worksheet xmlns="http://schemas.openxmlformats.org/spreadsheetml/2006/main" xmlns:r="http://schemas.openxmlformats.org/officeDocument/2006/relationships">
  <sheetPr codeName="Sheet47"/>
  <dimension ref="B1:K26"/>
  <sheetViews>
    <sheetView workbookViewId="0">
      <selection activeCell="M5" sqref="M5"/>
    </sheetView>
  </sheetViews>
  <sheetFormatPr defaultRowHeight="12.75"/>
  <cols>
    <col min="1" max="1" width="10.140625" customWidth="1"/>
    <col min="2" max="2" width="21.28515625" customWidth="1"/>
    <col min="3" max="11" width="12.140625" customWidth="1"/>
  </cols>
  <sheetData>
    <row r="1" spans="2:11" ht="17.25" customHeight="1">
      <c r="B1" s="1825" t="s">
        <v>794</v>
      </c>
      <c r="C1" s="1825"/>
      <c r="D1" s="1825"/>
      <c r="E1" s="1825"/>
      <c r="F1" s="1825"/>
      <c r="G1" s="1825"/>
      <c r="H1" s="1825"/>
      <c r="I1" s="1825"/>
      <c r="J1" s="1825"/>
      <c r="K1" s="1825"/>
    </row>
    <row r="2" spans="2:11" ht="19.5" customHeight="1">
      <c r="B2" s="1857" t="s">
        <v>624</v>
      </c>
      <c r="C2" s="1857"/>
      <c r="D2" s="1857"/>
      <c r="E2" s="1857"/>
      <c r="F2" s="1857"/>
      <c r="G2" s="1857"/>
      <c r="H2" s="1857"/>
      <c r="I2" s="1857"/>
      <c r="J2" s="1857"/>
      <c r="K2" s="1857"/>
    </row>
    <row r="3" spans="2:11" ht="16.5" customHeight="1">
      <c r="B3" s="7"/>
      <c r="C3" s="7"/>
      <c r="D3" s="7"/>
      <c r="E3" s="7"/>
      <c r="F3" s="7"/>
      <c r="G3" s="7"/>
      <c r="H3" s="7"/>
      <c r="I3" s="7"/>
      <c r="J3" s="7"/>
      <c r="K3" s="485" t="s">
        <v>1001</v>
      </c>
    </row>
    <row r="4" spans="2:11" ht="24" customHeight="1">
      <c r="B4" s="1833" t="s">
        <v>1131</v>
      </c>
      <c r="C4" s="1829" t="s">
        <v>275</v>
      </c>
      <c r="D4" s="1827"/>
      <c r="E4" s="1906"/>
      <c r="F4" s="1829" t="s">
        <v>944</v>
      </c>
      <c r="G4" s="1827"/>
      <c r="H4" s="1828"/>
      <c r="I4" s="1827" t="s">
        <v>276</v>
      </c>
      <c r="J4" s="1827"/>
      <c r="K4" s="1828"/>
    </row>
    <row r="5" spans="2:11" ht="24" customHeight="1">
      <c r="B5" s="1834"/>
      <c r="C5" s="156" t="s">
        <v>1040</v>
      </c>
      <c r="D5" s="156" t="s">
        <v>1041</v>
      </c>
      <c r="E5" s="163" t="s">
        <v>979</v>
      </c>
      <c r="F5" s="199" t="s">
        <v>1040</v>
      </c>
      <c r="G5" s="156" t="s">
        <v>1041</v>
      </c>
      <c r="H5" s="198" t="s">
        <v>979</v>
      </c>
      <c r="I5" s="199" t="s">
        <v>1040</v>
      </c>
      <c r="J5" s="156" t="s">
        <v>1041</v>
      </c>
      <c r="K5" s="198" t="s">
        <v>979</v>
      </c>
    </row>
    <row r="6" spans="2:11" ht="24" customHeight="1">
      <c r="B6" s="209" t="s">
        <v>955</v>
      </c>
      <c r="C6" s="137" t="s">
        <v>956</v>
      </c>
      <c r="D6" s="135" t="s">
        <v>957</v>
      </c>
      <c r="E6" s="136" t="s">
        <v>958</v>
      </c>
      <c r="F6" s="137" t="s">
        <v>959</v>
      </c>
      <c r="G6" s="135" t="s">
        <v>961</v>
      </c>
      <c r="H6" s="136" t="s">
        <v>962</v>
      </c>
      <c r="I6" s="137" t="s">
        <v>990</v>
      </c>
      <c r="J6" s="135" t="s">
        <v>991</v>
      </c>
      <c r="K6" s="136" t="s">
        <v>992</v>
      </c>
    </row>
    <row r="7" spans="2:11" ht="35.1" customHeight="1">
      <c r="B7" s="1377" t="s">
        <v>1647</v>
      </c>
      <c r="C7" s="1376">
        <v>11395</v>
      </c>
      <c r="D7" s="1376">
        <v>10681</v>
      </c>
      <c r="E7" s="1053">
        <f t="shared" ref="E7:E14" si="0">C7+D7</f>
        <v>22076</v>
      </c>
      <c r="F7" s="1376">
        <v>946</v>
      </c>
      <c r="G7" s="1376">
        <v>765</v>
      </c>
      <c r="H7" s="102">
        <f t="shared" ref="H7:H14" si="1">F7+G7</f>
        <v>1711</v>
      </c>
      <c r="I7" s="117">
        <f t="shared" ref="I7:J14" si="2">C7+F7</f>
        <v>12341</v>
      </c>
      <c r="J7" s="46">
        <f t="shared" si="2"/>
        <v>11446</v>
      </c>
      <c r="K7" s="102">
        <f t="shared" ref="K7:K14" si="3">I7+J7</f>
        <v>23787</v>
      </c>
    </row>
    <row r="8" spans="2:11" ht="35.1" customHeight="1">
      <c r="B8" s="731" t="s">
        <v>1648</v>
      </c>
      <c r="C8" s="1376">
        <v>4726</v>
      </c>
      <c r="D8" s="1376">
        <v>3362</v>
      </c>
      <c r="E8" s="102">
        <f t="shared" si="0"/>
        <v>8088</v>
      </c>
      <c r="F8" s="1376">
        <v>567</v>
      </c>
      <c r="G8" s="1376">
        <v>334</v>
      </c>
      <c r="H8" s="102">
        <f t="shared" si="1"/>
        <v>901</v>
      </c>
      <c r="I8" s="117">
        <f t="shared" si="2"/>
        <v>5293</v>
      </c>
      <c r="J8" s="46">
        <f t="shared" si="2"/>
        <v>3696</v>
      </c>
      <c r="K8" s="102">
        <f t="shared" si="3"/>
        <v>8989</v>
      </c>
    </row>
    <row r="9" spans="2:11" ht="35.1" customHeight="1">
      <c r="B9" s="731" t="s">
        <v>1649</v>
      </c>
      <c r="C9" s="1376">
        <v>7104</v>
      </c>
      <c r="D9" s="1376">
        <v>5902</v>
      </c>
      <c r="E9" s="102">
        <f t="shared" si="0"/>
        <v>13006</v>
      </c>
      <c r="F9" s="1376">
        <v>795</v>
      </c>
      <c r="G9" s="1376">
        <v>636</v>
      </c>
      <c r="H9" s="102">
        <f t="shared" si="1"/>
        <v>1431</v>
      </c>
      <c r="I9" s="117">
        <f t="shared" si="2"/>
        <v>7899</v>
      </c>
      <c r="J9" s="46">
        <f t="shared" si="2"/>
        <v>6538</v>
      </c>
      <c r="K9" s="102">
        <f t="shared" si="3"/>
        <v>14437</v>
      </c>
    </row>
    <row r="10" spans="2:11" ht="35.1" customHeight="1">
      <c r="B10" s="731" t="s">
        <v>1650</v>
      </c>
      <c r="C10" s="1376">
        <v>12782</v>
      </c>
      <c r="D10" s="1376">
        <v>6564</v>
      </c>
      <c r="E10" s="102">
        <f t="shared" si="0"/>
        <v>19346</v>
      </c>
      <c r="F10" s="1376">
        <v>1282</v>
      </c>
      <c r="G10" s="1376">
        <v>626</v>
      </c>
      <c r="H10" s="102">
        <f t="shared" si="1"/>
        <v>1908</v>
      </c>
      <c r="I10" s="117">
        <f t="shared" si="2"/>
        <v>14064</v>
      </c>
      <c r="J10" s="46">
        <f t="shared" si="2"/>
        <v>7190</v>
      </c>
      <c r="K10" s="102">
        <f t="shared" si="3"/>
        <v>21254</v>
      </c>
    </row>
    <row r="11" spans="2:11" ht="35.1" customHeight="1">
      <c r="B11" s="731" t="s">
        <v>647</v>
      </c>
      <c r="C11" s="1376">
        <v>2180</v>
      </c>
      <c r="D11" s="1376">
        <v>1606</v>
      </c>
      <c r="E11" s="102">
        <f t="shared" si="0"/>
        <v>3786</v>
      </c>
      <c r="F11" s="1376">
        <v>213</v>
      </c>
      <c r="G11" s="1376">
        <v>156</v>
      </c>
      <c r="H11" s="102">
        <f t="shared" si="1"/>
        <v>369</v>
      </c>
      <c r="I11" s="117">
        <f t="shared" si="2"/>
        <v>2393</v>
      </c>
      <c r="J11" s="46">
        <f t="shared" si="2"/>
        <v>1762</v>
      </c>
      <c r="K11" s="102">
        <f t="shared" si="3"/>
        <v>4155</v>
      </c>
    </row>
    <row r="12" spans="2:11" ht="35.1" customHeight="1">
      <c r="B12" s="731" t="s">
        <v>648</v>
      </c>
      <c r="C12" s="1376">
        <v>4251</v>
      </c>
      <c r="D12" s="1376">
        <v>3176</v>
      </c>
      <c r="E12" s="102">
        <f t="shared" si="0"/>
        <v>7427</v>
      </c>
      <c r="F12" s="1376">
        <v>536</v>
      </c>
      <c r="G12" s="1376">
        <v>392</v>
      </c>
      <c r="H12" s="102">
        <f t="shared" si="1"/>
        <v>928</v>
      </c>
      <c r="I12" s="117">
        <f t="shared" si="2"/>
        <v>4787</v>
      </c>
      <c r="J12" s="46">
        <f t="shared" si="2"/>
        <v>3568</v>
      </c>
      <c r="K12" s="102">
        <f t="shared" si="3"/>
        <v>8355</v>
      </c>
    </row>
    <row r="13" spans="2:11" ht="35.1" customHeight="1">
      <c r="B13" s="1350" t="s">
        <v>649</v>
      </c>
      <c r="C13" s="1376">
        <v>10389</v>
      </c>
      <c r="D13" s="1376">
        <v>7085</v>
      </c>
      <c r="E13" s="102">
        <f t="shared" si="0"/>
        <v>17474</v>
      </c>
      <c r="F13" s="1376">
        <v>963</v>
      </c>
      <c r="G13" s="1376">
        <v>708</v>
      </c>
      <c r="H13" s="102">
        <f t="shared" si="1"/>
        <v>1671</v>
      </c>
      <c r="I13" s="117">
        <f t="shared" si="2"/>
        <v>11352</v>
      </c>
      <c r="J13" s="46">
        <f t="shared" si="2"/>
        <v>7793</v>
      </c>
      <c r="K13" s="102">
        <f t="shared" si="3"/>
        <v>19145</v>
      </c>
    </row>
    <row r="14" spans="2:11" ht="35.1" customHeight="1">
      <c r="B14" s="1378" t="s">
        <v>650</v>
      </c>
      <c r="C14" s="1379">
        <v>7160</v>
      </c>
      <c r="D14" s="1380">
        <v>5844</v>
      </c>
      <c r="E14" s="116">
        <f t="shared" si="0"/>
        <v>13004</v>
      </c>
      <c r="F14" s="1379">
        <v>542</v>
      </c>
      <c r="G14" s="1380">
        <v>420</v>
      </c>
      <c r="H14" s="102">
        <f t="shared" si="1"/>
        <v>962</v>
      </c>
      <c r="I14" s="117">
        <f t="shared" si="2"/>
        <v>7702</v>
      </c>
      <c r="J14" s="46">
        <f t="shared" si="2"/>
        <v>6264</v>
      </c>
      <c r="K14" s="102">
        <f t="shared" si="3"/>
        <v>13966</v>
      </c>
    </row>
    <row r="15" spans="2:11" ht="33" customHeight="1">
      <c r="B15" s="477" t="s">
        <v>1108</v>
      </c>
      <c r="C15" s="1375">
        <f t="shared" ref="C15:K15" si="4">SUM(C7:C14)</f>
        <v>59987</v>
      </c>
      <c r="D15" s="1375">
        <f t="shared" si="4"/>
        <v>44220</v>
      </c>
      <c r="E15" s="478">
        <f t="shared" si="4"/>
        <v>104207</v>
      </c>
      <c r="F15" s="1381">
        <f t="shared" si="4"/>
        <v>5844</v>
      </c>
      <c r="G15" s="1375">
        <f t="shared" si="4"/>
        <v>4037</v>
      </c>
      <c r="H15" s="478">
        <f t="shared" si="4"/>
        <v>9881</v>
      </c>
      <c r="I15" s="479">
        <f t="shared" si="4"/>
        <v>65831</v>
      </c>
      <c r="J15" s="478">
        <f t="shared" si="4"/>
        <v>48257</v>
      </c>
      <c r="K15" s="480">
        <f t="shared" si="4"/>
        <v>114088</v>
      </c>
    </row>
    <row r="16" spans="2:11">
      <c r="B16" s="16"/>
      <c r="H16" s="1941" t="s">
        <v>640</v>
      </c>
      <c r="I16" s="1941"/>
      <c r="J16" s="1941"/>
      <c r="K16" s="1941"/>
    </row>
    <row r="17" spans="2:6">
      <c r="B17" s="16"/>
      <c r="F17" s="90"/>
    </row>
    <row r="18" spans="2:6">
      <c r="B18" s="16"/>
      <c r="F18" s="90"/>
    </row>
    <row r="19" spans="2:6">
      <c r="B19" s="16"/>
      <c r="F19" s="90"/>
    </row>
    <row r="20" spans="2:6">
      <c r="B20" s="16"/>
      <c r="F20" s="90"/>
    </row>
    <row r="21" spans="2:6">
      <c r="B21" s="16"/>
    </row>
    <row r="22" spans="2:6">
      <c r="B22" s="16"/>
    </row>
    <row r="23" spans="2:6">
      <c r="B23" s="16"/>
    </row>
    <row r="24" spans="2:6" ht="12.75" customHeight="1"/>
    <row r="25" spans="2:6" ht="12" customHeight="1"/>
    <row r="26" spans="2:6">
      <c r="B26" s="16"/>
    </row>
  </sheetData>
  <mergeCells count="7">
    <mergeCell ref="B1:K1"/>
    <mergeCell ref="H16:K16"/>
    <mergeCell ref="B2:K2"/>
    <mergeCell ref="B4:B5"/>
    <mergeCell ref="C4:E4"/>
    <mergeCell ref="F4:H4"/>
    <mergeCell ref="I4:K4"/>
  </mergeCells>
  <phoneticPr fontId="0" type="noConversion"/>
  <pageMargins left="0.1" right="0.1" top="1.06" bottom="0.1" header="0.65" footer="0.5"/>
  <pageSetup paperSize="9" scale="98" orientation="landscape" blackAndWhite="1" r:id="rId1"/>
  <headerFooter alignWithMargins="0"/>
</worksheet>
</file>

<file path=xl/worksheets/sheet23.xml><?xml version="1.0" encoding="utf-8"?>
<worksheet xmlns="http://schemas.openxmlformats.org/spreadsheetml/2006/main" xmlns:r="http://schemas.openxmlformats.org/officeDocument/2006/relationships">
  <sheetPr codeName="Sheet22"/>
  <dimension ref="A1:L67"/>
  <sheetViews>
    <sheetView workbookViewId="0">
      <selection activeCell="O11" sqref="O11"/>
    </sheetView>
  </sheetViews>
  <sheetFormatPr defaultRowHeight="12.75"/>
  <cols>
    <col min="1" max="1" width="18.42578125" style="62" customWidth="1"/>
    <col min="2" max="2" width="10.5703125" style="62" customWidth="1"/>
    <col min="3" max="3" width="9.7109375" style="62" customWidth="1"/>
    <col min="4" max="4" width="10.140625" style="62" customWidth="1"/>
    <col min="5" max="5" width="10.28515625" style="62" customWidth="1"/>
    <col min="6" max="6" width="17" style="62" customWidth="1"/>
    <col min="7" max="7" width="8.42578125" style="62" customWidth="1"/>
    <col min="8" max="8" width="11.85546875" style="62" customWidth="1"/>
    <col min="9" max="9" width="9.85546875" style="62" customWidth="1"/>
    <col min="10" max="10" width="8.7109375" style="62" customWidth="1"/>
    <col min="11" max="11" width="8.5703125" style="62" customWidth="1"/>
    <col min="12" max="12" width="10.28515625" style="62" customWidth="1"/>
    <col min="13" max="16384" width="9.140625" style="62"/>
  </cols>
  <sheetData>
    <row r="1" spans="1:12" ht="16.5" customHeight="1">
      <c r="A1" s="1987" t="s">
        <v>793</v>
      </c>
      <c r="B1" s="1987"/>
      <c r="C1" s="1987"/>
      <c r="D1" s="1987"/>
      <c r="E1" s="1987"/>
      <c r="F1" s="1987"/>
      <c r="G1" s="1987"/>
      <c r="H1" s="1987"/>
      <c r="I1" s="1987"/>
      <c r="J1" s="1987"/>
      <c r="K1" s="1987"/>
      <c r="L1" s="1987"/>
    </row>
    <row r="2" spans="1:12" ht="17.25" customHeight="1">
      <c r="A2" s="1988" t="str">
        <f>CONCATENATE("Medical Facilities available in the district of ",District!$A$1)</f>
        <v>Medical Facilities available in the district of Purba Medinipur</v>
      </c>
      <c r="B2" s="1988"/>
      <c r="C2" s="1988"/>
      <c r="D2" s="1988"/>
      <c r="E2" s="1988"/>
      <c r="F2" s="1988"/>
      <c r="G2" s="1988"/>
      <c r="H2" s="1988"/>
      <c r="I2" s="1988"/>
      <c r="J2" s="1988"/>
      <c r="K2" s="1988"/>
      <c r="L2" s="1988"/>
    </row>
    <row r="3" spans="1:12" ht="13.5" customHeight="1">
      <c r="A3" s="61"/>
      <c r="B3" s="61"/>
      <c r="C3" s="61"/>
      <c r="D3" s="61"/>
      <c r="E3" s="61"/>
      <c r="F3" s="61"/>
      <c r="G3" s="61"/>
      <c r="H3" s="61"/>
      <c r="I3" s="61"/>
      <c r="J3" s="61"/>
      <c r="K3" s="61"/>
      <c r="L3" s="880" t="s">
        <v>1001</v>
      </c>
    </row>
    <row r="4" spans="1:12" ht="18" customHeight="1">
      <c r="A4" s="1975" t="s">
        <v>899</v>
      </c>
      <c r="B4" s="1981" t="s">
        <v>827</v>
      </c>
      <c r="C4" s="1982"/>
      <c r="D4" s="1982"/>
      <c r="E4" s="1982"/>
      <c r="F4" s="1982"/>
      <c r="G4" s="1982"/>
      <c r="H4" s="1982"/>
      <c r="I4" s="1982"/>
      <c r="J4" s="1983"/>
      <c r="K4" s="1975" t="s">
        <v>1574</v>
      </c>
      <c r="L4" s="1975" t="s">
        <v>1575</v>
      </c>
    </row>
    <row r="5" spans="1:12" ht="18" customHeight="1">
      <c r="A5" s="1976"/>
      <c r="B5" s="1984" t="s">
        <v>138</v>
      </c>
      <c r="C5" s="1985"/>
      <c r="D5" s="1985"/>
      <c r="E5" s="1985"/>
      <c r="F5" s="1975" t="s">
        <v>542</v>
      </c>
      <c r="G5" s="1975" t="s">
        <v>58</v>
      </c>
      <c r="H5" s="1975" t="s">
        <v>45</v>
      </c>
      <c r="I5" s="1975" t="s">
        <v>44</v>
      </c>
      <c r="J5" s="1980" t="s">
        <v>979</v>
      </c>
      <c r="K5" s="1976"/>
      <c r="L5" s="1976"/>
    </row>
    <row r="6" spans="1:12" ht="64.5" customHeight="1">
      <c r="A6" s="1979"/>
      <c r="B6" s="906" t="s">
        <v>1169</v>
      </c>
      <c r="C6" s="907" t="s">
        <v>59</v>
      </c>
      <c r="D6" s="889" t="s">
        <v>1573</v>
      </c>
      <c r="E6" s="908" t="s">
        <v>61</v>
      </c>
      <c r="F6" s="1978"/>
      <c r="G6" s="1978"/>
      <c r="H6" s="1978"/>
      <c r="I6" s="1978"/>
      <c r="J6" s="1978"/>
      <c r="K6" s="1979"/>
      <c r="L6" s="1977"/>
    </row>
    <row r="7" spans="1:12" ht="15" customHeight="1">
      <c r="A7" s="682" t="s">
        <v>955</v>
      </c>
      <c r="B7" s="721" t="s">
        <v>956</v>
      </c>
      <c r="C7" s="682" t="s">
        <v>957</v>
      </c>
      <c r="D7" s="682" t="s">
        <v>958</v>
      </c>
      <c r="E7" s="722" t="s">
        <v>959</v>
      </c>
      <c r="F7" s="683" t="s">
        <v>961</v>
      </c>
      <c r="G7" s="682" t="s">
        <v>962</v>
      </c>
      <c r="H7" s="682" t="s">
        <v>990</v>
      </c>
      <c r="I7" s="683" t="s">
        <v>991</v>
      </c>
      <c r="J7" s="682" t="s">
        <v>992</v>
      </c>
      <c r="K7" s="683" t="s">
        <v>993</v>
      </c>
      <c r="L7" s="682" t="s">
        <v>1046</v>
      </c>
    </row>
    <row r="8" spans="1:12" ht="15" customHeight="1">
      <c r="A8" s="222">
        <v>2010</v>
      </c>
      <c r="B8" s="447">
        <v>5</v>
      </c>
      <c r="C8" s="454">
        <v>3</v>
      </c>
      <c r="D8" s="445">
        <v>22</v>
      </c>
      <c r="E8" s="447">
        <v>51</v>
      </c>
      <c r="F8" s="685" t="s">
        <v>1384</v>
      </c>
      <c r="G8" s="686" t="s">
        <v>1384</v>
      </c>
      <c r="H8" s="686" t="s">
        <v>1384</v>
      </c>
      <c r="I8" s="685">
        <v>152</v>
      </c>
      <c r="J8" s="686">
        <v>233</v>
      </c>
      <c r="K8" s="609">
        <v>3416</v>
      </c>
      <c r="L8" s="445">
        <v>258</v>
      </c>
    </row>
    <row r="9" spans="1:12" ht="15" customHeight="1">
      <c r="A9" s="222">
        <v>2011</v>
      </c>
      <c r="B9" s="124">
        <v>5</v>
      </c>
      <c r="C9" s="104">
        <v>3</v>
      </c>
      <c r="D9" s="120">
        <v>22</v>
      </c>
      <c r="E9" s="447">
        <v>51</v>
      </c>
      <c r="F9" s="454" t="s">
        <v>1384</v>
      </c>
      <c r="G9" s="686" t="s">
        <v>1384</v>
      </c>
      <c r="H9" s="686" t="s">
        <v>1384</v>
      </c>
      <c r="I9" s="454">
        <v>152</v>
      </c>
      <c r="J9" s="686">
        <v>233</v>
      </c>
      <c r="K9" s="454">
        <v>3416</v>
      </c>
      <c r="L9" s="445">
        <v>260</v>
      </c>
    </row>
    <row r="10" spans="1:12" ht="15" customHeight="1">
      <c r="A10" s="222">
        <v>2012</v>
      </c>
      <c r="B10" s="124">
        <v>5</v>
      </c>
      <c r="C10" s="104">
        <v>3</v>
      </c>
      <c r="D10" s="120">
        <v>22</v>
      </c>
      <c r="E10" s="447">
        <v>51</v>
      </c>
      <c r="F10" s="454" t="s">
        <v>1384</v>
      </c>
      <c r="G10" s="686" t="s">
        <v>1384</v>
      </c>
      <c r="H10" s="686" t="s">
        <v>1384</v>
      </c>
      <c r="I10" s="454">
        <v>144</v>
      </c>
      <c r="J10" s="686">
        <v>225</v>
      </c>
      <c r="K10" s="454">
        <v>3987</v>
      </c>
      <c r="L10" s="445">
        <v>265</v>
      </c>
    </row>
    <row r="11" spans="1:12" ht="15" customHeight="1">
      <c r="A11" s="222">
        <v>2013</v>
      </c>
      <c r="B11" s="124">
        <v>5</v>
      </c>
      <c r="C11" s="104">
        <v>3</v>
      </c>
      <c r="D11" s="120">
        <v>22</v>
      </c>
      <c r="E11" s="447">
        <v>51</v>
      </c>
      <c r="F11" s="454" t="s">
        <v>1384</v>
      </c>
      <c r="G11" s="686" t="s">
        <v>1384</v>
      </c>
      <c r="H11" s="686" t="s">
        <v>1384</v>
      </c>
      <c r="I11" s="454">
        <v>177</v>
      </c>
      <c r="J11" s="686">
        <v>258</v>
      </c>
      <c r="K11" s="454">
        <v>4026</v>
      </c>
      <c r="L11" s="445">
        <v>315</v>
      </c>
    </row>
    <row r="12" spans="1:12" ht="15" customHeight="1">
      <c r="A12" s="994">
        <v>2014</v>
      </c>
      <c r="B12" s="608">
        <f>SUM(B14,B24,B40,B47)</f>
        <v>5</v>
      </c>
      <c r="C12" s="780">
        <f>SUM(C14,C24,C40,C47)</f>
        <v>3</v>
      </c>
      <c r="D12" s="779">
        <f>SUM(D14,D24,D40,D47)</f>
        <v>22</v>
      </c>
      <c r="E12" s="608">
        <f>SUM(E14,E24,E40,E47)</f>
        <v>51</v>
      </c>
      <c r="F12" s="608" t="str">
        <f>IF(SUM(F14,F24,F40,F47)=0,"-",SUM(F14,F24,F40,F47))</f>
        <v>-</v>
      </c>
      <c r="G12" s="608" t="str">
        <f>IF(SUM(G14,G24,G40,G47)=0,"-",SUM(G14,G24,G40,G47))</f>
        <v>-</v>
      </c>
      <c r="H12" s="608" t="str">
        <f>IF(SUM(H14,H24,H40,H47)=0,"-",SUM(H14,H24,H40,H47))</f>
        <v>-</v>
      </c>
      <c r="I12" s="608" t="str">
        <f>SUM(I14,I24,I40,I47)&amp;"*"</f>
        <v>132*</v>
      </c>
      <c r="J12" s="608">
        <f>SUM(J14,J24,J40,J47)</f>
        <v>213</v>
      </c>
      <c r="K12" s="608">
        <f>SUM(K14,K24,K40,K47)</f>
        <v>3486</v>
      </c>
      <c r="L12" s="608">
        <f>SUM(L14,L24,L40,L47)</f>
        <v>293</v>
      </c>
    </row>
    <row r="13" spans="1:12" ht="29.25" customHeight="1">
      <c r="A13" s="989" t="s">
        <v>162</v>
      </c>
      <c r="B13" s="1989" t="str">
        <f xml:space="preserve"> "Year : " &amp; A12</f>
        <v>Year : 2014</v>
      </c>
      <c r="C13" s="1990"/>
      <c r="D13" s="1990"/>
      <c r="E13" s="1990"/>
      <c r="F13" s="1990"/>
      <c r="G13" s="1990"/>
      <c r="H13" s="1990"/>
      <c r="I13" s="1990"/>
      <c r="J13" s="1990"/>
      <c r="K13" s="1990"/>
      <c r="L13" s="1991"/>
    </row>
    <row r="14" spans="1:12" ht="13.5" customHeight="1">
      <c r="A14" s="603" t="s">
        <v>1267</v>
      </c>
      <c r="B14" s="519">
        <f>SUM(B15:B23)</f>
        <v>1</v>
      </c>
      <c r="C14" s="519" t="str">
        <f>IF(SUM(C15:C23)=0,"-",SUM(C15:C23))</f>
        <v>-</v>
      </c>
      <c r="D14" s="631">
        <f>SUM(D15:D23)</f>
        <v>7</v>
      </c>
      <c r="E14" s="360">
        <f>SUM(E15:E23)</f>
        <v>14</v>
      </c>
      <c r="F14" s="519" t="str">
        <f>IF(SUM(F15:F23)=0,"-",SUM(F15:F23))</f>
        <v>-</v>
      </c>
      <c r="G14" s="631" t="str">
        <f>IF(SUM(G15:G23)=0,"-",SUM(G15:G23))</f>
        <v>-</v>
      </c>
      <c r="H14" s="519" t="str">
        <f>IF(SUM(H15:H23)=0,"-",SUM(H15:H23))</f>
        <v>-</v>
      </c>
      <c r="I14" s="519">
        <f>IF(SUM(I15:I23)=0,"-",SUM(I15:I23))</f>
        <v>70</v>
      </c>
      <c r="J14" s="631">
        <f t="shared" ref="J14:J30" si="0">SUM(B14:I14)</f>
        <v>92</v>
      </c>
      <c r="K14" s="631">
        <f>IF(SUM(K15:K23)=0,"-",SUM(K15:K23))</f>
        <v>1506</v>
      </c>
      <c r="L14" s="519">
        <f>SUM(L15:L23)</f>
        <v>96</v>
      </c>
    </row>
    <row r="15" spans="1:12" ht="13.5" customHeight="1">
      <c r="A15" s="604" t="s">
        <v>200</v>
      </c>
      <c r="B15" s="353" t="s">
        <v>1384</v>
      </c>
      <c r="C15" s="353" t="s">
        <v>1384</v>
      </c>
      <c r="D15" s="124">
        <v>1</v>
      </c>
      <c r="E15" s="65">
        <v>2</v>
      </c>
      <c r="F15" s="120" t="s">
        <v>1384</v>
      </c>
      <c r="G15" s="124" t="s">
        <v>1384</v>
      </c>
      <c r="H15" s="120" t="s">
        <v>1384</v>
      </c>
      <c r="I15" s="454">
        <v>3</v>
      </c>
      <c r="J15" s="1049">
        <f t="shared" si="0"/>
        <v>6</v>
      </c>
      <c r="K15" s="447">
        <v>65</v>
      </c>
      <c r="L15" s="120">
        <v>4</v>
      </c>
    </row>
    <row r="16" spans="1:12" ht="13.5" customHeight="1">
      <c r="A16" s="604" t="s">
        <v>1386</v>
      </c>
      <c r="B16" s="353" t="s">
        <v>1384</v>
      </c>
      <c r="C16" s="353" t="s">
        <v>1384</v>
      </c>
      <c r="D16" s="124">
        <v>1</v>
      </c>
      <c r="E16" s="65">
        <v>2</v>
      </c>
      <c r="F16" s="120" t="s">
        <v>1384</v>
      </c>
      <c r="G16" s="124" t="s">
        <v>1384</v>
      </c>
      <c r="H16" s="120" t="s">
        <v>1384</v>
      </c>
      <c r="I16" s="454">
        <v>8</v>
      </c>
      <c r="J16" s="1049">
        <f t="shared" si="0"/>
        <v>11</v>
      </c>
      <c r="K16" s="447">
        <v>115</v>
      </c>
      <c r="L16" s="120">
        <v>8</v>
      </c>
    </row>
    <row r="17" spans="1:12" ht="13.5" customHeight="1">
      <c r="A17" s="604" t="s">
        <v>1388</v>
      </c>
      <c r="B17" s="353" t="s">
        <v>1384</v>
      </c>
      <c r="C17" s="353" t="s">
        <v>1384</v>
      </c>
      <c r="D17" s="124">
        <v>1</v>
      </c>
      <c r="E17" s="65">
        <v>2</v>
      </c>
      <c r="F17" s="120" t="s">
        <v>1384</v>
      </c>
      <c r="G17" s="124" t="s">
        <v>1384</v>
      </c>
      <c r="H17" s="120" t="s">
        <v>1384</v>
      </c>
      <c r="I17" s="454">
        <v>6</v>
      </c>
      <c r="J17" s="1049">
        <f t="shared" si="0"/>
        <v>9</v>
      </c>
      <c r="K17" s="447">
        <v>110</v>
      </c>
      <c r="L17" s="120">
        <v>7</v>
      </c>
    </row>
    <row r="18" spans="1:12" ht="13.5" customHeight="1">
      <c r="A18" s="165" t="s">
        <v>1568</v>
      </c>
      <c r="B18" s="353" t="s">
        <v>1384</v>
      </c>
      <c r="C18" s="353" t="s">
        <v>1384</v>
      </c>
      <c r="D18" s="124">
        <v>1</v>
      </c>
      <c r="E18" s="65">
        <v>2</v>
      </c>
      <c r="F18" s="120" t="s">
        <v>1384</v>
      </c>
      <c r="G18" s="124" t="s">
        <v>1384</v>
      </c>
      <c r="H18" s="120" t="s">
        <v>1384</v>
      </c>
      <c r="I18" s="454">
        <v>9</v>
      </c>
      <c r="J18" s="1049">
        <f t="shared" si="0"/>
        <v>12</v>
      </c>
      <c r="K18" s="447">
        <v>145</v>
      </c>
      <c r="L18" s="120">
        <v>7</v>
      </c>
    </row>
    <row r="19" spans="1:12" ht="13.5" customHeight="1">
      <c r="A19" s="604" t="s">
        <v>1390</v>
      </c>
      <c r="B19" s="353" t="s">
        <v>1384</v>
      </c>
      <c r="C19" s="353" t="s">
        <v>1384</v>
      </c>
      <c r="D19" s="124">
        <v>1</v>
      </c>
      <c r="E19" s="65">
        <v>2</v>
      </c>
      <c r="F19" s="120" t="s">
        <v>1384</v>
      </c>
      <c r="G19" s="124" t="s">
        <v>1384</v>
      </c>
      <c r="H19" s="120" t="s">
        <v>1384</v>
      </c>
      <c r="I19" s="454">
        <v>2</v>
      </c>
      <c r="J19" s="1049">
        <f t="shared" si="0"/>
        <v>5</v>
      </c>
      <c r="K19" s="447">
        <v>50</v>
      </c>
      <c r="L19" s="120">
        <v>3</v>
      </c>
    </row>
    <row r="20" spans="1:12" ht="13.5" customHeight="1">
      <c r="A20" s="604" t="s">
        <v>1391</v>
      </c>
      <c r="B20" s="353" t="s">
        <v>1384</v>
      </c>
      <c r="C20" s="353" t="s">
        <v>1384</v>
      </c>
      <c r="D20" s="124">
        <v>1</v>
      </c>
      <c r="E20" s="65">
        <v>2</v>
      </c>
      <c r="F20" s="120" t="s">
        <v>1384</v>
      </c>
      <c r="G20" s="124" t="s">
        <v>1384</v>
      </c>
      <c r="H20" s="120" t="s">
        <v>1384</v>
      </c>
      <c r="I20" s="454">
        <v>1</v>
      </c>
      <c r="J20" s="1049">
        <f t="shared" si="0"/>
        <v>4</v>
      </c>
      <c r="K20" s="447">
        <v>50</v>
      </c>
      <c r="L20" s="120">
        <v>10</v>
      </c>
    </row>
    <row r="21" spans="1:12" ht="13.5" customHeight="1">
      <c r="A21" s="604" t="s">
        <v>1569</v>
      </c>
      <c r="B21" s="353" t="s">
        <v>1384</v>
      </c>
      <c r="C21" s="353" t="s">
        <v>1384</v>
      </c>
      <c r="D21" s="124">
        <v>1</v>
      </c>
      <c r="E21" s="65">
        <v>2</v>
      </c>
      <c r="F21" s="120" t="s">
        <v>1384</v>
      </c>
      <c r="G21" s="124" t="s">
        <v>1384</v>
      </c>
      <c r="H21" s="120" t="s">
        <v>1384</v>
      </c>
      <c r="I21" s="454">
        <v>8</v>
      </c>
      <c r="J21" s="1049">
        <f t="shared" si="0"/>
        <v>11</v>
      </c>
      <c r="K21" s="447">
        <v>165</v>
      </c>
      <c r="L21" s="120">
        <v>5</v>
      </c>
    </row>
    <row r="22" spans="1:12" ht="13.5" customHeight="1">
      <c r="A22" s="604" t="s">
        <v>1383</v>
      </c>
      <c r="B22" s="120">
        <v>1</v>
      </c>
      <c r="C22" s="120" t="s">
        <v>1384</v>
      </c>
      <c r="D22" s="124" t="s">
        <v>1384</v>
      </c>
      <c r="E22" s="65" t="s">
        <v>1384</v>
      </c>
      <c r="F22" s="120" t="s">
        <v>1384</v>
      </c>
      <c r="G22" s="124" t="s">
        <v>1384</v>
      </c>
      <c r="H22" s="120" t="s">
        <v>1384</v>
      </c>
      <c r="I22" s="454">
        <v>31</v>
      </c>
      <c r="J22" s="1049">
        <f t="shared" si="0"/>
        <v>32</v>
      </c>
      <c r="K22" s="447">
        <v>766</v>
      </c>
      <c r="L22" s="120">
        <v>52</v>
      </c>
    </row>
    <row r="23" spans="1:12" ht="13.5" customHeight="1">
      <c r="A23" s="604" t="s">
        <v>1389</v>
      </c>
      <c r="B23" s="353" t="s">
        <v>1384</v>
      </c>
      <c r="C23" s="353" t="s">
        <v>1384</v>
      </c>
      <c r="D23" s="124" t="s">
        <v>1384</v>
      </c>
      <c r="E23" s="65" t="s">
        <v>1384</v>
      </c>
      <c r="F23" s="353" t="s">
        <v>1384</v>
      </c>
      <c r="G23" s="146" t="s">
        <v>1384</v>
      </c>
      <c r="H23" s="353" t="s">
        <v>1384</v>
      </c>
      <c r="I23" s="454">
        <v>2</v>
      </c>
      <c r="J23" s="1049">
        <f t="shared" si="0"/>
        <v>2</v>
      </c>
      <c r="K23" s="447">
        <v>40</v>
      </c>
      <c r="L23" s="353" t="s">
        <v>918</v>
      </c>
    </row>
    <row r="24" spans="1:12" ht="13.5" customHeight="1">
      <c r="A24" s="386" t="s">
        <v>1571</v>
      </c>
      <c r="B24" s="389">
        <f t="shared" ref="B24:L24" si="1">SUM(B25:B30)</f>
        <v>1</v>
      </c>
      <c r="C24" s="389">
        <f t="shared" si="1"/>
        <v>2</v>
      </c>
      <c r="D24" s="307">
        <f t="shared" si="1"/>
        <v>3</v>
      </c>
      <c r="E24" s="360">
        <f t="shared" si="1"/>
        <v>10</v>
      </c>
      <c r="F24" s="389" t="str">
        <f>IF(SUM(F25:F30)=0,"-",SUM(F25:F30))</f>
        <v>-</v>
      </c>
      <c r="G24" s="360" t="str">
        <f>IF(SUM(G25:G30)=0,"-",SUM(G25:G30))</f>
        <v>-</v>
      </c>
      <c r="H24" s="389" t="str">
        <f>IF(SUM(H25:H30)=0,"-",SUM(H25:H30))</f>
        <v>-</v>
      </c>
      <c r="I24" s="317">
        <f t="shared" si="1"/>
        <v>19</v>
      </c>
      <c r="J24" s="389">
        <f t="shared" si="0"/>
        <v>35</v>
      </c>
      <c r="K24" s="360">
        <f>IF(SUM(K25:K30)=0,"-",SUM(K25:K30))</f>
        <v>803</v>
      </c>
      <c r="L24" s="389">
        <f t="shared" si="1"/>
        <v>67</v>
      </c>
    </row>
    <row r="25" spans="1:12" ht="13.5" customHeight="1">
      <c r="A25" s="604" t="s">
        <v>1393</v>
      </c>
      <c r="B25" s="120" t="s">
        <v>1384</v>
      </c>
      <c r="C25" s="120">
        <v>1</v>
      </c>
      <c r="D25" s="124" t="s">
        <v>1384</v>
      </c>
      <c r="E25" s="684">
        <v>1</v>
      </c>
      <c r="F25" s="465" t="s">
        <v>1384</v>
      </c>
      <c r="G25" s="551" t="s">
        <v>1384</v>
      </c>
      <c r="H25" s="465" t="s">
        <v>1384</v>
      </c>
      <c r="I25" s="454">
        <v>3</v>
      </c>
      <c r="J25" s="1049">
        <f t="shared" si="0"/>
        <v>5</v>
      </c>
      <c r="K25" s="447">
        <v>80</v>
      </c>
      <c r="L25" s="120">
        <v>8</v>
      </c>
    </row>
    <row r="26" spans="1:12" ht="13.5" customHeight="1">
      <c r="A26" s="604" t="s">
        <v>1395</v>
      </c>
      <c r="B26" s="120" t="s">
        <v>1384</v>
      </c>
      <c r="C26" s="120" t="s">
        <v>1384</v>
      </c>
      <c r="D26" s="124">
        <v>1</v>
      </c>
      <c r="E26" s="684">
        <v>2</v>
      </c>
      <c r="F26" s="465" t="s">
        <v>1384</v>
      </c>
      <c r="G26" s="551" t="s">
        <v>1384</v>
      </c>
      <c r="H26" s="465" t="s">
        <v>1384</v>
      </c>
      <c r="I26" s="454" t="s">
        <v>1384</v>
      </c>
      <c r="J26" s="1049">
        <f t="shared" si="0"/>
        <v>3</v>
      </c>
      <c r="K26" s="447">
        <v>46</v>
      </c>
      <c r="L26" s="120">
        <v>9</v>
      </c>
    </row>
    <row r="27" spans="1:12" ht="13.5" customHeight="1">
      <c r="A27" s="604" t="s">
        <v>1396</v>
      </c>
      <c r="B27" s="120" t="s">
        <v>1384</v>
      </c>
      <c r="C27" s="120">
        <v>1</v>
      </c>
      <c r="D27" s="124" t="s">
        <v>1384</v>
      </c>
      <c r="E27" s="684">
        <v>2</v>
      </c>
      <c r="F27" s="465" t="s">
        <v>1384</v>
      </c>
      <c r="G27" s="551" t="s">
        <v>1384</v>
      </c>
      <c r="H27" s="465" t="s">
        <v>1384</v>
      </c>
      <c r="I27" s="460" t="s">
        <v>1384</v>
      </c>
      <c r="J27" s="1049">
        <f t="shared" si="0"/>
        <v>3</v>
      </c>
      <c r="K27" s="447">
        <v>30</v>
      </c>
      <c r="L27" s="120">
        <v>10</v>
      </c>
    </row>
    <row r="28" spans="1:12" ht="13.5" customHeight="1">
      <c r="A28" s="604" t="s">
        <v>1397</v>
      </c>
      <c r="B28" s="120" t="s">
        <v>1384</v>
      </c>
      <c r="C28" s="120" t="s">
        <v>1384</v>
      </c>
      <c r="D28" s="124">
        <v>1</v>
      </c>
      <c r="E28" s="684">
        <v>3</v>
      </c>
      <c r="F28" s="465" t="s">
        <v>1384</v>
      </c>
      <c r="G28" s="551" t="s">
        <v>1384</v>
      </c>
      <c r="H28" s="465" t="s">
        <v>1384</v>
      </c>
      <c r="I28" s="454">
        <v>2</v>
      </c>
      <c r="J28" s="1049">
        <f t="shared" si="0"/>
        <v>6</v>
      </c>
      <c r="K28" s="447">
        <v>115</v>
      </c>
      <c r="L28" s="120">
        <v>6</v>
      </c>
    </row>
    <row r="29" spans="1:12" ht="13.5" customHeight="1">
      <c r="A29" s="605" t="s">
        <v>1399</v>
      </c>
      <c r="B29" s="120" t="s">
        <v>1384</v>
      </c>
      <c r="C29" s="120" t="s">
        <v>1384</v>
      </c>
      <c r="D29" s="124">
        <v>1</v>
      </c>
      <c r="E29" s="684">
        <v>2</v>
      </c>
      <c r="F29" s="465" t="s">
        <v>1384</v>
      </c>
      <c r="G29" s="551" t="s">
        <v>1384</v>
      </c>
      <c r="H29" s="465" t="s">
        <v>1384</v>
      </c>
      <c r="I29" s="454" t="s">
        <v>1384</v>
      </c>
      <c r="J29" s="1049">
        <f t="shared" si="0"/>
        <v>3</v>
      </c>
      <c r="K29" s="447">
        <v>20</v>
      </c>
      <c r="L29" s="120">
        <v>5</v>
      </c>
    </row>
    <row r="30" spans="1:12" ht="13.5" customHeight="1">
      <c r="A30" s="711" t="s">
        <v>1400</v>
      </c>
      <c r="B30" s="121">
        <v>1</v>
      </c>
      <c r="C30" s="121" t="s">
        <v>1384</v>
      </c>
      <c r="D30" s="1043" t="s">
        <v>1384</v>
      </c>
      <c r="E30" s="1046" t="s">
        <v>1384</v>
      </c>
      <c r="F30" s="606" t="s">
        <v>1384</v>
      </c>
      <c r="G30" s="1047" t="s">
        <v>1384</v>
      </c>
      <c r="H30" s="606" t="s">
        <v>1384</v>
      </c>
      <c r="I30" s="450">
        <v>14</v>
      </c>
      <c r="J30" s="1048">
        <f t="shared" si="0"/>
        <v>15</v>
      </c>
      <c r="K30" s="451">
        <v>512</v>
      </c>
      <c r="L30" s="121">
        <v>29</v>
      </c>
    </row>
    <row r="31" spans="1:12" ht="14.1" customHeight="1">
      <c r="A31" s="698"/>
      <c r="B31" s="104"/>
      <c r="C31" s="155"/>
      <c r="D31" s="155"/>
      <c r="E31" s="849"/>
      <c r="F31" s="849"/>
      <c r="G31" s="849"/>
      <c r="H31" s="849"/>
      <c r="I31" s="454"/>
      <c r="J31" s="104"/>
      <c r="K31" s="454"/>
      <c r="L31" s="1144" t="s">
        <v>444</v>
      </c>
    </row>
    <row r="32" spans="1:12" ht="14.1" customHeight="1">
      <c r="A32" s="698"/>
      <c r="B32" s="104"/>
      <c r="C32" s="155"/>
      <c r="D32" s="155"/>
      <c r="E32" s="849"/>
      <c r="F32" s="849"/>
      <c r="G32" s="849"/>
      <c r="H32" s="849"/>
      <c r="I32" s="454"/>
      <c r="J32" s="104"/>
      <c r="K32" s="454"/>
      <c r="L32" s="1144"/>
    </row>
    <row r="33" spans="1:12" ht="16.5" customHeight="1"/>
    <row r="34" spans="1:12" ht="16.5" customHeight="1">
      <c r="A34" s="1987" t="s">
        <v>891</v>
      </c>
      <c r="B34" s="1987"/>
      <c r="C34" s="1987"/>
      <c r="D34" s="1987"/>
      <c r="E34" s="1987"/>
      <c r="F34" s="1987"/>
      <c r="G34" s="1987"/>
      <c r="H34" s="1987"/>
      <c r="I34" s="1987"/>
      <c r="J34" s="1987"/>
      <c r="K34" s="1987"/>
      <c r="L34" s="1987"/>
    </row>
    <row r="35" spans="1:12" ht="13.5" customHeight="1">
      <c r="A35" s="61"/>
      <c r="B35" s="61"/>
      <c r="C35" s="61"/>
      <c r="D35" s="61"/>
      <c r="E35" s="61"/>
      <c r="F35" s="61"/>
      <c r="G35" s="61"/>
      <c r="H35" s="61"/>
      <c r="I35" s="61"/>
      <c r="J35" s="61"/>
      <c r="K35" s="61"/>
      <c r="L35" s="880" t="s">
        <v>1001</v>
      </c>
    </row>
    <row r="36" spans="1:12" ht="18" customHeight="1">
      <c r="A36" s="1975" t="s">
        <v>162</v>
      </c>
      <c r="B36" s="1981" t="s">
        <v>827</v>
      </c>
      <c r="C36" s="1982"/>
      <c r="D36" s="1982"/>
      <c r="E36" s="1982"/>
      <c r="F36" s="1982"/>
      <c r="G36" s="1982"/>
      <c r="H36" s="1982"/>
      <c r="I36" s="1982"/>
      <c r="J36" s="1983"/>
      <c r="K36" s="1975" t="s">
        <v>1574</v>
      </c>
      <c r="L36" s="1975" t="s">
        <v>1178</v>
      </c>
    </row>
    <row r="37" spans="1:12" ht="18" customHeight="1">
      <c r="A37" s="1976"/>
      <c r="B37" s="1984" t="s">
        <v>138</v>
      </c>
      <c r="C37" s="1985"/>
      <c r="D37" s="1985"/>
      <c r="E37" s="1985"/>
      <c r="F37" s="1975" t="s">
        <v>542</v>
      </c>
      <c r="G37" s="1975" t="s">
        <v>58</v>
      </c>
      <c r="H37" s="1975" t="s">
        <v>45</v>
      </c>
      <c r="I37" s="1975" t="s">
        <v>44</v>
      </c>
      <c r="J37" s="1980" t="s">
        <v>979</v>
      </c>
      <c r="K37" s="1976"/>
      <c r="L37" s="1976"/>
    </row>
    <row r="38" spans="1:12" ht="73.5" customHeight="1">
      <c r="A38" s="1979"/>
      <c r="B38" s="906" t="s">
        <v>1169</v>
      </c>
      <c r="C38" s="907" t="s">
        <v>59</v>
      </c>
      <c r="D38" s="889" t="s">
        <v>60</v>
      </c>
      <c r="E38" s="908" t="s">
        <v>61</v>
      </c>
      <c r="F38" s="1978"/>
      <c r="G38" s="1978"/>
      <c r="H38" s="1978"/>
      <c r="I38" s="1978"/>
      <c r="J38" s="1978"/>
      <c r="K38" s="1979"/>
      <c r="L38" s="1977"/>
    </row>
    <row r="39" spans="1:12" ht="15.75" customHeight="1">
      <c r="A39" s="682" t="s">
        <v>955</v>
      </c>
      <c r="B39" s="721" t="s">
        <v>956</v>
      </c>
      <c r="C39" s="682" t="s">
        <v>957</v>
      </c>
      <c r="D39" s="682" t="s">
        <v>958</v>
      </c>
      <c r="E39" s="722" t="s">
        <v>959</v>
      </c>
      <c r="F39" s="683" t="s">
        <v>961</v>
      </c>
      <c r="G39" s="682" t="s">
        <v>962</v>
      </c>
      <c r="H39" s="682" t="s">
        <v>990</v>
      </c>
      <c r="I39" s="683" t="s">
        <v>991</v>
      </c>
      <c r="J39" s="682" t="s">
        <v>992</v>
      </c>
      <c r="K39" s="683" t="s">
        <v>993</v>
      </c>
      <c r="L39" s="682" t="s">
        <v>1046</v>
      </c>
    </row>
    <row r="40" spans="1:12" ht="15" customHeight="1">
      <c r="A40" s="527" t="s">
        <v>1266</v>
      </c>
      <c r="B40" s="519">
        <f>SUM(B42:B46)</f>
        <v>1</v>
      </c>
      <c r="C40" s="519">
        <f>SUM(C41:C46)</f>
        <v>1</v>
      </c>
      <c r="D40" s="519">
        <f>SUM(D41:D46)</f>
        <v>4</v>
      </c>
      <c r="E40" s="360">
        <f>SUM(E41:E46)</f>
        <v>11</v>
      </c>
      <c r="F40" s="389" t="str">
        <f>IF(SUM(F41:F46)=0,"-",SUM(F41:F46))</f>
        <v>-</v>
      </c>
      <c r="G40" s="360" t="str">
        <f>IF(SUM(G41:G46)=0,"-",SUM(G41:G46))</f>
        <v>-</v>
      </c>
      <c r="H40" s="389" t="str">
        <f>IF(SUM(H41:H46)=0,"-",SUM(H41:H46))</f>
        <v>-</v>
      </c>
      <c r="I40" s="519">
        <f>IF(SUM(I41:I46)=0,"-",SUM(I41:I46))</f>
        <v>21</v>
      </c>
      <c r="J40" s="519">
        <f t="shared" ref="J40:J47" si="2">SUM(B40:I40)</f>
        <v>38</v>
      </c>
      <c r="K40" s="360">
        <f>IF(SUM(K41:K46)=0,"-",SUM(K41:K46))</f>
        <v>489</v>
      </c>
      <c r="L40" s="389">
        <f>SUM(L41:L46)</f>
        <v>42</v>
      </c>
    </row>
    <row r="41" spans="1:12" ht="15" customHeight="1">
      <c r="A41" s="604" t="s">
        <v>1269</v>
      </c>
      <c r="B41" s="347" t="s">
        <v>1384</v>
      </c>
      <c r="C41" s="347" t="s">
        <v>1384</v>
      </c>
      <c r="D41" s="120">
        <v>1</v>
      </c>
      <c r="E41" s="684">
        <v>1</v>
      </c>
      <c r="F41" s="353" t="s">
        <v>1384</v>
      </c>
      <c r="G41" s="353" t="s">
        <v>1384</v>
      </c>
      <c r="H41" s="353" t="s">
        <v>1384</v>
      </c>
      <c r="I41" s="454">
        <v>3</v>
      </c>
      <c r="J41" s="1049">
        <f t="shared" si="2"/>
        <v>5</v>
      </c>
      <c r="K41" s="447">
        <v>40</v>
      </c>
      <c r="L41" s="120">
        <v>4</v>
      </c>
    </row>
    <row r="42" spans="1:12" ht="15" customHeight="1">
      <c r="A42" s="604" t="s">
        <v>1270</v>
      </c>
      <c r="B42" s="347" t="s">
        <v>1384</v>
      </c>
      <c r="C42" s="67" t="s">
        <v>1384</v>
      </c>
      <c r="D42" s="120">
        <v>1</v>
      </c>
      <c r="E42" s="104">
        <v>2</v>
      </c>
      <c r="F42" s="353" t="s">
        <v>1384</v>
      </c>
      <c r="G42" s="353" t="s">
        <v>1384</v>
      </c>
      <c r="H42" s="353" t="s">
        <v>1384</v>
      </c>
      <c r="I42" s="454">
        <v>1</v>
      </c>
      <c r="J42" s="1049">
        <f t="shared" si="2"/>
        <v>4</v>
      </c>
      <c r="K42" s="447">
        <v>40</v>
      </c>
      <c r="L42" s="120">
        <v>6</v>
      </c>
    </row>
    <row r="43" spans="1:12" ht="15" customHeight="1">
      <c r="A43" s="604" t="s">
        <v>1412</v>
      </c>
      <c r="B43" s="347" t="s">
        <v>1384</v>
      </c>
      <c r="C43" s="347">
        <v>1</v>
      </c>
      <c r="D43" s="120" t="s">
        <v>1384</v>
      </c>
      <c r="E43" s="684">
        <v>3</v>
      </c>
      <c r="F43" s="353" t="s">
        <v>1384</v>
      </c>
      <c r="G43" s="353" t="s">
        <v>1384</v>
      </c>
      <c r="H43" s="353" t="s">
        <v>1384</v>
      </c>
      <c r="I43" s="67">
        <v>3</v>
      </c>
      <c r="J43" s="1049">
        <f t="shared" si="2"/>
        <v>7</v>
      </c>
      <c r="K43" s="447">
        <v>60</v>
      </c>
      <c r="L43" s="120">
        <v>5</v>
      </c>
    </row>
    <row r="44" spans="1:12" ht="15" customHeight="1">
      <c r="A44" s="604" t="s">
        <v>1413</v>
      </c>
      <c r="B44" s="347" t="s">
        <v>1384</v>
      </c>
      <c r="C44" s="347" t="s">
        <v>1384</v>
      </c>
      <c r="D44" s="120">
        <v>1</v>
      </c>
      <c r="E44" s="684">
        <v>2</v>
      </c>
      <c r="F44" s="353" t="s">
        <v>1384</v>
      </c>
      <c r="G44" s="353" t="s">
        <v>1384</v>
      </c>
      <c r="H44" s="353" t="s">
        <v>1384</v>
      </c>
      <c r="I44" s="454">
        <v>1</v>
      </c>
      <c r="J44" s="1049">
        <f t="shared" si="2"/>
        <v>4</v>
      </c>
      <c r="K44" s="447">
        <v>20</v>
      </c>
      <c r="L44" s="120">
        <v>6</v>
      </c>
    </row>
    <row r="45" spans="1:12" ht="15" customHeight="1">
      <c r="A45" s="604" t="s">
        <v>1414</v>
      </c>
      <c r="B45" s="347" t="s">
        <v>1384</v>
      </c>
      <c r="C45" s="347" t="s">
        <v>1384</v>
      </c>
      <c r="D45" s="347">
        <v>1</v>
      </c>
      <c r="E45" s="684">
        <v>3</v>
      </c>
      <c r="F45" s="353" t="s">
        <v>1384</v>
      </c>
      <c r="G45" s="353" t="s">
        <v>1384</v>
      </c>
      <c r="H45" s="353" t="s">
        <v>1384</v>
      </c>
      <c r="I45" s="454" t="s">
        <v>1384</v>
      </c>
      <c r="J45" s="1049">
        <f t="shared" si="2"/>
        <v>4</v>
      </c>
      <c r="K45" s="447">
        <v>50</v>
      </c>
      <c r="L45" s="120">
        <v>4</v>
      </c>
    </row>
    <row r="46" spans="1:12" ht="15" customHeight="1">
      <c r="A46" s="604" t="s">
        <v>156</v>
      </c>
      <c r="B46" s="120">
        <v>1</v>
      </c>
      <c r="C46" s="120" t="s">
        <v>1384</v>
      </c>
      <c r="D46" s="347" t="s">
        <v>1384</v>
      </c>
      <c r="E46" s="67" t="s">
        <v>1384</v>
      </c>
      <c r="F46" s="353" t="s">
        <v>1384</v>
      </c>
      <c r="G46" s="353" t="s">
        <v>1384</v>
      </c>
      <c r="H46" s="353" t="s">
        <v>1384</v>
      </c>
      <c r="I46" s="454">
        <v>13</v>
      </c>
      <c r="J46" s="1049">
        <f t="shared" si="2"/>
        <v>14</v>
      </c>
      <c r="K46" s="447">
        <v>279</v>
      </c>
      <c r="L46" s="120">
        <v>17</v>
      </c>
    </row>
    <row r="47" spans="1:12" ht="15" customHeight="1">
      <c r="A47" s="386" t="s">
        <v>1572</v>
      </c>
      <c r="B47" s="389">
        <f t="shared" ref="B47:L47" si="3">SUM(B48:B56)</f>
        <v>2</v>
      </c>
      <c r="C47" s="389" t="str">
        <f>IF(SUM(C48:C56)=0,"-",SUM(C48:C56))</f>
        <v>-</v>
      </c>
      <c r="D47" s="389">
        <f t="shared" si="3"/>
        <v>8</v>
      </c>
      <c r="E47" s="360">
        <f t="shared" si="3"/>
        <v>16</v>
      </c>
      <c r="F47" s="389" t="str">
        <f>IF(SUM(F48:F56)=0,"-",SUM(F48:F56))</f>
        <v>-</v>
      </c>
      <c r="G47" s="360" t="str">
        <f>IF(SUM(G48:G56)=0,"-",SUM(G48:G56))</f>
        <v>-</v>
      </c>
      <c r="H47" s="389" t="str">
        <f>IF(SUM(H48:H56)=0,"-",SUM(H48:H56))</f>
        <v>-</v>
      </c>
      <c r="I47" s="360">
        <f t="shared" si="3"/>
        <v>22</v>
      </c>
      <c r="J47" s="1049">
        <f t="shared" si="2"/>
        <v>48</v>
      </c>
      <c r="K47" s="360">
        <f>IF(SUM(K48:K56)=0,"-",SUM(K48:K56))</f>
        <v>688</v>
      </c>
      <c r="L47" s="389">
        <f t="shared" si="3"/>
        <v>88</v>
      </c>
    </row>
    <row r="48" spans="1:12" ht="15" customHeight="1">
      <c r="A48" s="604" t="s">
        <v>1419</v>
      </c>
      <c r="B48" s="347" t="s">
        <v>1384</v>
      </c>
      <c r="C48" s="460" t="s">
        <v>1384</v>
      </c>
      <c r="D48" s="120">
        <v>1</v>
      </c>
      <c r="E48" s="684">
        <v>1</v>
      </c>
      <c r="F48" s="465" t="s">
        <v>1384</v>
      </c>
      <c r="G48" s="465" t="s">
        <v>1384</v>
      </c>
      <c r="H48" s="465" t="s">
        <v>1384</v>
      </c>
      <c r="I48" s="454" t="s">
        <v>1384</v>
      </c>
      <c r="J48" s="1049">
        <f t="shared" ref="J48:J56" si="4">SUM(B48:I48)</f>
        <v>2</v>
      </c>
      <c r="K48" s="447">
        <v>40</v>
      </c>
      <c r="L48" s="120">
        <v>6</v>
      </c>
    </row>
    <row r="49" spans="1:12" ht="15" customHeight="1">
      <c r="A49" s="604" t="s">
        <v>1420</v>
      </c>
      <c r="B49" s="347" t="s">
        <v>1384</v>
      </c>
      <c r="C49" s="460" t="s">
        <v>1384</v>
      </c>
      <c r="D49" s="120">
        <v>1</v>
      </c>
      <c r="E49" s="684">
        <v>1</v>
      </c>
      <c r="F49" s="465" t="s">
        <v>1384</v>
      </c>
      <c r="G49" s="465" t="s">
        <v>1384</v>
      </c>
      <c r="H49" s="465" t="s">
        <v>1384</v>
      </c>
      <c r="I49" s="454">
        <v>1</v>
      </c>
      <c r="J49" s="1049">
        <f t="shared" si="4"/>
        <v>3</v>
      </c>
      <c r="K49" s="447">
        <v>48</v>
      </c>
      <c r="L49" s="120">
        <v>4</v>
      </c>
    </row>
    <row r="50" spans="1:12" ht="15" customHeight="1">
      <c r="A50" s="604" t="s">
        <v>1422</v>
      </c>
      <c r="B50" s="347" t="s">
        <v>1384</v>
      </c>
      <c r="C50" s="460" t="s">
        <v>1384</v>
      </c>
      <c r="D50" s="120">
        <v>1</v>
      </c>
      <c r="E50" s="684">
        <v>2</v>
      </c>
      <c r="F50" s="465" t="s">
        <v>1384</v>
      </c>
      <c r="G50" s="465" t="s">
        <v>1384</v>
      </c>
      <c r="H50" s="465" t="s">
        <v>1384</v>
      </c>
      <c r="I50" s="454">
        <v>6</v>
      </c>
      <c r="J50" s="1049">
        <f t="shared" si="4"/>
        <v>9</v>
      </c>
      <c r="K50" s="447">
        <v>95</v>
      </c>
      <c r="L50" s="120">
        <v>4</v>
      </c>
    </row>
    <row r="51" spans="1:12" ht="15" customHeight="1">
      <c r="A51" s="604" t="s">
        <v>1423</v>
      </c>
      <c r="B51" s="120">
        <v>1</v>
      </c>
      <c r="C51" s="460" t="s">
        <v>1384</v>
      </c>
      <c r="D51" s="120">
        <v>1</v>
      </c>
      <c r="E51" s="684">
        <v>3</v>
      </c>
      <c r="F51" s="465" t="s">
        <v>1384</v>
      </c>
      <c r="G51" s="465" t="s">
        <v>1384</v>
      </c>
      <c r="H51" s="465" t="s">
        <v>1384</v>
      </c>
      <c r="I51" s="454">
        <v>4</v>
      </c>
      <c r="J51" s="1049">
        <f t="shared" si="4"/>
        <v>9</v>
      </c>
      <c r="K51" s="447">
        <v>90</v>
      </c>
      <c r="L51" s="120">
        <v>14</v>
      </c>
    </row>
    <row r="52" spans="1:12" ht="15" customHeight="1">
      <c r="A52" s="604" t="s">
        <v>1425</v>
      </c>
      <c r="B52" s="347" t="s">
        <v>1384</v>
      </c>
      <c r="C52" s="460" t="s">
        <v>1384</v>
      </c>
      <c r="D52" s="120">
        <v>1</v>
      </c>
      <c r="E52" s="104">
        <v>3</v>
      </c>
      <c r="F52" s="465" t="s">
        <v>1384</v>
      </c>
      <c r="G52" s="465" t="s">
        <v>1384</v>
      </c>
      <c r="H52" s="465" t="s">
        <v>1384</v>
      </c>
      <c r="I52" s="454" t="s">
        <v>1384</v>
      </c>
      <c r="J52" s="1049">
        <f t="shared" si="4"/>
        <v>4</v>
      </c>
      <c r="K52" s="447">
        <v>30</v>
      </c>
      <c r="L52" s="120">
        <v>11</v>
      </c>
    </row>
    <row r="53" spans="1:12" ht="15" customHeight="1">
      <c r="A53" s="604" t="s">
        <v>1426</v>
      </c>
      <c r="B53" s="347" t="s">
        <v>1384</v>
      </c>
      <c r="C53" s="460" t="s">
        <v>1384</v>
      </c>
      <c r="D53" s="120">
        <v>1</v>
      </c>
      <c r="E53" s="104">
        <v>2</v>
      </c>
      <c r="F53" s="465" t="s">
        <v>1384</v>
      </c>
      <c r="G53" s="465" t="s">
        <v>1384</v>
      </c>
      <c r="H53" s="465" t="s">
        <v>1384</v>
      </c>
      <c r="I53" s="454" t="s">
        <v>1384</v>
      </c>
      <c r="J53" s="1049">
        <f t="shared" si="4"/>
        <v>3</v>
      </c>
      <c r="K53" s="447">
        <v>25</v>
      </c>
      <c r="L53" s="120">
        <v>7</v>
      </c>
    </row>
    <row r="54" spans="1:12" ht="15" customHeight="1">
      <c r="A54" s="604" t="s">
        <v>1570</v>
      </c>
      <c r="B54" s="347" t="s">
        <v>1384</v>
      </c>
      <c r="C54" s="460" t="s">
        <v>1384</v>
      </c>
      <c r="D54" s="120">
        <v>1</v>
      </c>
      <c r="E54" s="104">
        <v>2</v>
      </c>
      <c r="F54" s="465" t="s">
        <v>1384</v>
      </c>
      <c r="G54" s="465" t="s">
        <v>1384</v>
      </c>
      <c r="H54" s="465" t="s">
        <v>1384</v>
      </c>
      <c r="I54" s="454" t="s">
        <v>1384</v>
      </c>
      <c r="J54" s="1049">
        <f t="shared" si="4"/>
        <v>3</v>
      </c>
      <c r="K54" s="447">
        <v>10</v>
      </c>
      <c r="L54" s="120">
        <v>7</v>
      </c>
    </row>
    <row r="55" spans="1:12" ht="15" customHeight="1">
      <c r="A55" s="604" t="s">
        <v>1429</v>
      </c>
      <c r="B55" s="347" t="s">
        <v>1384</v>
      </c>
      <c r="C55" s="120" t="s">
        <v>1384</v>
      </c>
      <c r="D55" s="120">
        <v>1</v>
      </c>
      <c r="E55" s="104">
        <v>2</v>
      </c>
      <c r="F55" s="465" t="s">
        <v>1384</v>
      </c>
      <c r="G55" s="465" t="s">
        <v>1384</v>
      </c>
      <c r="H55" s="465" t="s">
        <v>1384</v>
      </c>
      <c r="I55" s="454" t="s">
        <v>1384</v>
      </c>
      <c r="J55" s="1049">
        <f t="shared" si="4"/>
        <v>3</v>
      </c>
      <c r="K55" s="447">
        <v>10</v>
      </c>
      <c r="L55" s="120">
        <v>5</v>
      </c>
    </row>
    <row r="56" spans="1:12" s="61" customFormat="1" ht="15" customHeight="1">
      <c r="A56" s="1422" t="s">
        <v>1427</v>
      </c>
      <c r="B56" s="121">
        <v>1</v>
      </c>
      <c r="C56" s="916" t="s">
        <v>1384</v>
      </c>
      <c r="D56" s="121" t="s">
        <v>1384</v>
      </c>
      <c r="E56" s="114" t="s">
        <v>1384</v>
      </c>
      <c r="F56" s="606" t="s">
        <v>1384</v>
      </c>
      <c r="G56" s="606" t="s">
        <v>1384</v>
      </c>
      <c r="H56" s="606" t="s">
        <v>1384</v>
      </c>
      <c r="I56" s="723">
        <v>11</v>
      </c>
      <c r="J56" s="1048">
        <f t="shared" si="4"/>
        <v>12</v>
      </c>
      <c r="K56" s="723">
        <v>340</v>
      </c>
      <c r="L56" s="121">
        <v>30</v>
      </c>
    </row>
    <row r="57" spans="1:12" ht="12.75" customHeight="1">
      <c r="A57" s="1974" t="s">
        <v>1662</v>
      </c>
      <c r="B57" s="1974"/>
      <c r="C57" s="1974"/>
      <c r="D57" s="1974"/>
      <c r="E57"/>
      <c r="F57"/>
      <c r="G57"/>
      <c r="H57" s="1423" t="s">
        <v>543</v>
      </c>
      <c r="I57" s="1145" t="s">
        <v>1720</v>
      </c>
      <c r="J57" s="1146"/>
      <c r="K57" s="1146"/>
    </row>
    <row r="58" spans="1:12" ht="12.75" customHeight="1">
      <c r="A58" s="1491"/>
      <c r="B58" s="1491"/>
      <c r="C58" s="1491"/>
      <c r="D58"/>
      <c r="E58"/>
      <c r="F58"/>
      <c r="G58"/>
      <c r="H58"/>
      <c r="I58" s="1986" t="s">
        <v>1721</v>
      </c>
      <c r="J58" s="1986"/>
      <c r="K58" s="1986"/>
      <c r="L58" s="1986"/>
    </row>
    <row r="59" spans="1:12" ht="12.75" customHeight="1">
      <c r="A59" s="1421"/>
      <c r="B59" s="1421"/>
      <c r="C59" s="1421"/>
      <c r="D59" s="1421"/>
      <c r="E59"/>
      <c r="F59"/>
      <c r="G59"/>
      <c r="H59"/>
      <c r="I59" s="1986"/>
      <c r="J59" s="1986"/>
      <c r="K59" s="1986"/>
      <c r="L59" s="1986"/>
    </row>
    <row r="60" spans="1:12" ht="12.75" customHeight="1">
      <c r="A60" s="1421"/>
      <c r="B60" s="1421"/>
      <c r="C60" s="1421"/>
      <c r="D60" s="1421"/>
    </row>
    <row r="61" spans="1:12">
      <c r="A61" s="1421"/>
      <c r="B61" s="1421"/>
      <c r="C61" s="1421"/>
      <c r="D61" s="1421"/>
    </row>
    <row r="62" spans="1:12">
      <c r="A62"/>
      <c r="B62"/>
      <c r="C62"/>
    </row>
    <row r="63" spans="1:12">
      <c r="A63"/>
      <c r="B63"/>
      <c r="C63"/>
    </row>
    <row r="64" spans="1:12">
      <c r="A64"/>
      <c r="B64"/>
      <c r="C64"/>
    </row>
    <row r="65" spans="1:9">
      <c r="E65" s="701"/>
      <c r="F65" s="701"/>
      <c r="G65" s="701"/>
      <c r="H65" s="701"/>
      <c r="I65" s="701"/>
    </row>
    <row r="66" spans="1:9">
      <c r="A66" s="1417"/>
      <c r="B66" s="1418"/>
      <c r="C66" s="1419"/>
    </row>
    <row r="67" spans="1:9">
      <c r="A67" s="1418"/>
      <c r="B67" s="1418"/>
      <c r="C67" s="1419"/>
    </row>
  </sheetData>
  <mergeCells count="26">
    <mergeCell ref="I58:L59"/>
    <mergeCell ref="A1:L1"/>
    <mergeCell ref="A2:L2"/>
    <mergeCell ref="K4:K6"/>
    <mergeCell ref="L4:L6"/>
    <mergeCell ref="A4:A6"/>
    <mergeCell ref="B4:J4"/>
    <mergeCell ref="I5:I6"/>
    <mergeCell ref="H37:H38"/>
    <mergeCell ref="J5:J6"/>
    <mergeCell ref="B5:E5"/>
    <mergeCell ref="B13:L13"/>
    <mergeCell ref="F5:F6"/>
    <mergeCell ref="G5:G6"/>
    <mergeCell ref="H5:H6"/>
    <mergeCell ref="A34:L34"/>
    <mergeCell ref="A57:D57"/>
    <mergeCell ref="L36:L38"/>
    <mergeCell ref="I37:I38"/>
    <mergeCell ref="K36:K38"/>
    <mergeCell ref="J37:J38"/>
    <mergeCell ref="A36:A38"/>
    <mergeCell ref="B36:J36"/>
    <mergeCell ref="B37:E37"/>
    <mergeCell ref="F37:F38"/>
    <mergeCell ref="G37:G38"/>
  </mergeCells>
  <phoneticPr fontId="0" type="noConversion"/>
  <printOptions horizontalCentered="1"/>
  <pageMargins left="0.52" right="0.1" top="0.54" bottom="0.1" header="0.35" footer="0.1"/>
  <pageSetup paperSize="9" orientation="landscape" blackAndWhite="1" r:id="rId1"/>
  <headerFooter alignWithMargins="0"/>
  <rowBreaks count="1" manualBreakCount="1">
    <brk id="31" max="16383" man="1"/>
  </rowBreaks>
</worksheet>
</file>

<file path=xl/worksheets/sheet24.xml><?xml version="1.0" encoding="utf-8"?>
<worksheet xmlns="http://schemas.openxmlformats.org/spreadsheetml/2006/main" xmlns:r="http://schemas.openxmlformats.org/officeDocument/2006/relationships">
  <sheetPr codeName="Sheet23"/>
  <dimension ref="A1:M60"/>
  <sheetViews>
    <sheetView topLeftCell="A16" workbookViewId="0">
      <selection activeCell="H57" sqref="H57:I58"/>
    </sheetView>
  </sheetViews>
  <sheetFormatPr defaultRowHeight="12.4" customHeight="1"/>
  <cols>
    <col min="1" max="1" width="21.5703125" style="62" customWidth="1"/>
    <col min="2" max="5" width="12.28515625" style="62" customWidth="1"/>
    <col min="6" max="7" width="12.85546875" style="62" customWidth="1"/>
    <col min="8" max="8" width="11.85546875" style="62" customWidth="1"/>
    <col min="9" max="9" width="18.5703125" style="62" customWidth="1"/>
    <col min="10" max="16384" width="9.140625" style="62"/>
  </cols>
  <sheetData>
    <row r="1" spans="1:13" ht="15" customHeight="1">
      <c r="A1" s="1987" t="s">
        <v>792</v>
      </c>
      <c r="B1" s="1987"/>
      <c r="C1" s="1987"/>
      <c r="D1" s="1987"/>
      <c r="E1" s="1987"/>
      <c r="F1" s="1987"/>
      <c r="G1" s="1987"/>
      <c r="H1" s="1987"/>
      <c r="I1" s="1987"/>
    </row>
    <row r="2" spans="1:13" s="91" customFormat="1" ht="15.75" customHeight="1">
      <c r="A2" s="1988" t="str">
        <f>CONCATENATE(" Family Welfare Centres in the district of ",District!$A$1)</f>
        <v xml:space="preserve"> Family Welfare Centres in the district of Purba Medinipur</v>
      </c>
      <c r="B2" s="1988"/>
      <c r="C2" s="1988"/>
      <c r="D2" s="1988"/>
      <c r="E2" s="1988"/>
      <c r="F2" s="1988"/>
      <c r="G2" s="1988"/>
      <c r="H2" s="1988"/>
      <c r="I2" s="1988"/>
    </row>
    <row r="3" spans="1:13" s="91" customFormat="1" ht="12" customHeight="1">
      <c r="A3" s="481"/>
      <c r="B3" s="481"/>
      <c r="C3" s="482"/>
      <c r="D3" s="482"/>
      <c r="E3" s="482"/>
      <c r="F3" s="482"/>
      <c r="G3" s="482"/>
      <c r="H3" s="482"/>
      <c r="I3" s="484" t="s">
        <v>1001</v>
      </c>
    </row>
    <row r="4" spans="1:13" s="91" customFormat="1" ht="16.5" customHeight="1">
      <c r="A4" s="1995" t="s">
        <v>899</v>
      </c>
      <c r="B4" s="1995" t="s">
        <v>599</v>
      </c>
      <c r="C4" s="1992" t="s">
        <v>1284</v>
      </c>
      <c r="D4" s="1992"/>
      <c r="E4" s="1993"/>
      <c r="F4" s="1994" t="s">
        <v>1177</v>
      </c>
      <c r="G4" s="1992"/>
      <c r="H4" s="1992"/>
      <c r="I4" s="1993"/>
    </row>
    <row r="5" spans="1:13" s="91" customFormat="1" ht="32.25" customHeight="1">
      <c r="A5" s="1996"/>
      <c r="B5" s="1997"/>
      <c r="C5" s="607" t="s">
        <v>1277</v>
      </c>
      <c r="D5" s="351" t="s">
        <v>1278</v>
      </c>
      <c r="E5" s="1415" t="s">
        <v>979</v>
      </c>
      <c r="F5" s="607" t="s">
        <v>1280</v>
      </c>
      <c r="G5" s="351" t="s">
        <v>1281</v>
      </c>
      <c r="H5" s="607" t="s">
        <v>1282</v>
      </c>
      <c r="I5" s="393" t="s">
        <v>372</v>
      </c>
    </row>
    <row r="6" spans="1:13" s="91" customFormat="1" ht="15" customHeight="1">
      <c r="A6" s="600" t="s">
        <v>955</v>
      </c>
      <c r="B6" s="602" t="s">
        <v>956</v>
      </c>
      <c r="C6" s="600" t="s">
        <v>957</v>
      </c>
      <c r="D6" s="601" t="s">
        <v>958</v>
      </c>
      <c r="E6" s="602" t="s">
        <v>959</v>
      </c>
      <c r="F6" s="600" t="s">
        <v>961</v>
      </c>
      <c r="G6" s="602" t="s">
        <v>962</v>
      </c>
      <c r="H6" s="600" t="s">
        <v>990</v>
      </c>
      <c r="I6" s="600" t="s">
        <v>991</v>
      </c>
    </row>
    <row r="7" spans="1:13" s="91" customFormat="1" ht="14.25" customHeight="1">
      <c r="A7" s="598" t="s">
        <v>1356</v>
      </c>
      <c r="B7" s="447">
        <v>706</v>
      </c>
      <c r="C7" s="609">
        <v>30</v>
      </c>
      <c r="D7" s="446">
        <v>1</v>
      </c>
      <c r="E7" s="445">
        <f>SUM(C7,D7)</f>
        <v>31</v>
      </c>
      <c r="F7" s="454">
        <v>907</v>
      </c>
      <c r="G7" s="445">
        <v>11631</v>
      </c>
      <c r="H7" s="454">
        <v>5630</v>
      </c>
      <c r="I7" s="445">
        <v>68018</v>
      </c>
    </row>
    <row r="8" spans="1:13" s="91" customFormat="1" ht="14.25" customHeight="1">
      <c r="A8" s="598" t="s">
        <v>306</v>
      </c>
      <c r="B8" s="447">
        <v>706</v>
      </c>
      <c r="C8" s="609">
        <v>30</v>
      </c>
      <c r="D8" s="446">
        <v>1</v>
      </c>
      <c r="E8" s="445">
        <f t="shared" ref="E8:E11" si="0">SUM(C8,D8)</f>
        <v>31</v>
      </c>
      <c r="F8" s="454">
        <v>311</v>
      </c>
      <c r="G8" s="445">
        <v>10541</v>
      </c>
      <c r="H8" s="454">
        <v>4774</v>
      </c>
      <c r="I8" s="445">
        <v>74469</v>
      </c>
    </row>
    <row r="9" spans="1:13" s="91" customFormat="1" ht="14.25" customHeight="1">
      <c r="A9" s="598" t="s">
        <v>1357</v>
      </c>
      <c r="B9" s="447">
        <v>706</v>
      </c>
      <c r="C9" s="609">
        <v>30</v>
      </c>
      <c r="D9" s="446">
        <v>1</v>
      </c>
      <c r="E9" s="445">
        <f t="shared" si="0"/>
        <v>31</v>
      </c>
      <c r="F9" s="446">
        <v>371</v>
      </c>
      <c r="G9" s="446">
        <v>8761</v>
      </c>
      <c r="H9" s="446">
        <v>7798</v>
      </c>
      <c r="I9" s="445">
        <v>77954</v>
      </c>
    </row>
    <row r="10" spans="1:13" s="91" customFormat="1" ht="14.25" customHeight="1">
      <c r="A10" s="598" t="s">
        <v>628</v>
      </c>
      <c r="B10" s="447">
        <v>706</v>
      </c>
      <c r="C10" s="609">
        <v>81</v>
      </c>
      <c r="D10" s="446" t="s">
        <v>1384</v>
      </c>
      <c r="E10" s="445">
        <f t="shared" si="0"/>
        <v>81</v>
      </c>
      <c r="F10" s="446">
        <v>98</v>
      </c>
      <c r="G10" s="446">
        <v>8017</v>
      </c>
      <c r="H10" s="446">
        <v>7676</v>
      </c>
      <c r="I10" s="445">
        <v>60521</v>
      </c>
    </row>
    <row r="11" spans="1:13" s="91" customFormat="1" ht="14.25" customHeight="1">
      <c r="A11" s="941" t="s">
        <v>1639</v>
      </c>
      <c r="B11" s="608">
        <f>SUM(B13,B23,B38,B45,B55)</f>
        <v>706</v>
      </c>
      <c r="C11" s="608">
        <f>SUM(C13,C23,C38,C45,C55)</f>
        <v>81</v>
      </c>
      <c r="D11" s="781" t="str">
        <f>IF(SUM(D13,D23,D38,D45,D55)=0,"-",SUM(D13,D23,D38,D45,D55))</f>
        <v>-</v>
      </c>
      <c r="E11" s="445">
        <f t="shared" si="0"/>
        <v>81</v>
      </c>
      <c r="F11" s="608">
        <f>SUM(F13,F23,F38,F45,F55)</f>
        <v>129</v>
      </c>
      <c r="G11" s="608">
        <f>SUM(G13,G23,G38,G45,G55)</f>
        <v>8044</v>
      </c>
      <c r="H11" s="608">
        <f>SUM(H13,H23,H38,H45,H55)</f>
        <v>8756</v>
      </c>
      <c r="I11" s="608">
        <f>SUM(I13,I23,I38,I45,I55)</f>
        <v>53358</v>
      </c>
    </row>
    <row r="12" spans="1:13" s="91" customFormat="1" ht="29.25" customHeight="1">
      <c r="A12" s="688" t="s">
        <v>162</v>
      </c>
      <c r="B12" s="2002" t="str">
        <f>"Year : "&amp;  A11</f>
        <v>Year : 2013-14</v>
      </c>
      <c r="C12" s="2003"/>
      <c r="D12" s="2003"/>
      <c r="E12" s="2003"/>
      <c r="F12" s="2003"/>
      <c r="G12" s="2003"/>
      <c r="H12" s="2003"/>
      <c r="I12" s="2004"/>
    </row>
    <row r="13" spans="1:13" s="91" customFormat="1" ht="15" customHeight="1">
      <c r="A13" s="610" t="s">
        <v>1273</v>
      </c>
      <c r="B13" s="389">
        <f>IF(SUM(B14:B22)=0,"-",SUM(B14:B22))</f>
        <v>251</v>
      </c>
      <c r="C13" s="389">
        <f>IF(SUM(C14:C22)=0,"-",SUM(C14:C22))</f>
        <v>22</v>
      </c>
      <c r="D13" s="389" t="str">
        <f>IF(SUM(D14:D22)=0,"-",SUM(D14:D22))</f>
        <v>-</v>
      </c>
      <c r="E13" s="307">
        <f t="shared" ref="E13:E21" si="1">IF(SUM(C13:D13)=0,"-",SUM(C13:D13))</f>
        <v>22</v>
      </c>
      <c r="F13" s="360">
        <f>IF(SUM(F14:F22)=0,"-",SUM(F14:F22))</f>
        <v>19</v>
      </c>
      <c r="G13" s="389">
        <f>IF(SUM(G14:G22)=0,"-",SUM(G14:G22))</f>
        <v>2307</v>
      </c>
      <c r="H13" s="360">
        <f>IF(SUM(H14:H22)=0,"-",SUM(H14:H22))</f>
        <v>2261</v>
      </c>
      <c r="I13" s="389">
        <f>IF(SUM(I14:I22)=0,"-",SUM(I14:I22))</f>
        <v>11760</v>
      </c>
    </row>
    <row r="14" spans="1:13" s="91" customFormat="1" ht="15" customHeight="1">
      <c r="A14" s="267" t="s">
        <v>200</v>
      </c>
      <c r="B14" s="702">
        <v>34</v>
      </c>
      <c r="C14" s="445">
        <v>3</v>
      </c>
      <c r="D14" s="353" t="s">
        <v>1384</v>
      </c>
      <c r="E14" s="321">
        <f t="shared" si="1"/>
        <v>3</v>
      </c>
      <c r="F14" s="454">
        <v>1</v>
      </c>
      <c r="G14" s="445">
        <v>264</v>
      </c>
      <c r="H14" s="454">
        <v>379</v>
      </c>
      <c r="I14" s="445">
        <v>1409</v>
      </c>
      <c r="M14" s="69"/>
    </row>
    <row r="15" spans="1:13" s="91" customFormat="1" ht="15" customHeight="1">
      <c r="A15" s="267" t="s">
        <v>1386</v>
      </c>
      <c r="B15" s="702">
        <v>31</v>
      </c>
      <c r="C15" s="445">
        <v>3</v>
      </c>
      <c r="D15" s="353" t="s">
        <v>1384</v>
      </c>
      <c r="E15" s="321">
        <f t="shared" si="1"/>
        <v>3</v>
      </c>
      <c r="F15" s="454">
        <v>4</v>
      </c>
      <c r="G15" s="445">
        <v>214</v>
      </c>
      <c r="H15" s="454">
        <v>399</v>
      </c>
      <c r="I15" s="445">
        <v>1271</v>
      </c>
      <c r="M15" s="69"/>
    </row>
    <row r="16" spans="1:13" s="91" customFormat="1" ht="15" customHeight="1">
      <c r="A16" s="267" t="s">
        <v>1388</v>
      </c>
      <c r="B16" s="702">
        <v>44</v>
      </c>
      <c r="C16" s="445">
        <v>3</v>
      </c>
      <c r="D16" s="353" t="s">
        <v>1384</v>
      </c>
      <c r="E16" s="321">
        <f t="shared" si="1"/>
        <v>3</v>
      </c>
      <c r="F16" s="454" t="s">
        <v>1384</v>
      </c>
      <c r="G16" s="445">
        <v>331</v>
      </c>
      <c r="H16" s="454">
        <v>221</v>
      </c>
      <c r="I16" s="445">
        <v>965</v>
      </c>
      <c r="M16" s="69"/>
    </row>
    <row r="17" spans="1:13" s="91" customFormat="1" ht="15" customHeight="1">
      <c r="A17" s="285" t="s">
        <v>1568</v>
      </c>
      <c r="B17" s="702">
        <v>39</v>
      </c>
      <c r="C17" s="445">
        <v>3</v>
      </c>
      <c r="D17" s="353" t="s">
        <v>1384</v>
      </c>
      <c r="E17" s="321">
        <f t="shared" si="1"/>
        <v>3</v>
      </c>
      <c r="F17" s="454" t="s">
        <v>1384</v>
      </c>
      <c r="G17" s="445">
        <v>79</v>
      </c>
      <c r="H17" s="454">
        <v>240</v>
      </c>
      <c r="I17" s="445">
        <v>2123</v>
      </c>
      <c r="M17" s="69"/>
    </row>
    <row r="18" spans="1:13" s="91" customFormat="1" ht="15" customHeight="1">
      <c r="A18" s="267" t="s">
        <v>1390</v>
      </c>
      <c r="B18" s="702">
        <v>35</v>
      </c>
      <c r="C18" s="445">
        <v>3</v>
      </c>
      <c r="D18" s="353" t="s">
        <v>1384</v>
      </c>
      <c r="E18" s="321">
        <f t="shared" si="1"/>
        <v>3</v>
      </c>
      <c r="F18" s="454">
        <v>5</v>
      </c>
      <c r="G18" s="445">
        <v>545</v>
      </c>
      <c r="H18" s="454">
        <v>367</v>
      </c>
      <c r="I18" s="445">
        <v>1952</v>
      </c>
      <c r="M18" s="69"/>
    </row>
    <row r="19" spans="1:13" s="91" customFormat="1" ht="15" customHeight="1">
      <c r="A19" s="267" t="s">
        <v>1391</v>
      </c>
      <c r="B19" s="702">
        <v>40</v>
      </c>
      <c r="C19" s="445">
        <v>3</v>
      </c>
      <c r="D19" s="353" t="s">
        <v>1384</v>
      </c>
      <c r="E19" s="321">
        <f t="shared" si="1"/>
        <v>3</v>
      </c>
      <c r="F19" s="454">
        <v>7</v>
      </c>
      <c r="G19" s="445">
        <v>739</v>
      </c>
      <c r="H19" s="454">
        <v>259</v>
      </c>
      <c r="I19" s="445">
        <v>1925</v>
      </c>
      <c r="M19" s="69"/>
    </row>
    <row r="20" spans="1:13" s="91" customFormat="1" ht="15" customHeight="1">
      <c r="A20" s="267" t="s">
        <v>1392</v>
      </c>
      <c r="B20" s="702">
        <v>28</v>
      </c>
      <c r="C20" s="445">
        <v>3</v>
      </c>
      <c r="D20" s="353" t="s">
        <v>1384</v>
      </c>
      <c r="E20" s="321">
        <f>IF(SUM(C20:D20)=0,"-",SUM(C20:D20))</f>
        <v>3</v>
      </c>
      <c r="F20" s="454" t="s">
        <v>1384</v>
      </c>
      <c r="G20" s="445">
        <v>88</v>
      </c>
      <c r="H20" s="454">
        <v>312</v>
      </c>
      <c r="I20" s="445">
        <v>1664</v>
      </c>
      <c r="M20" s="69"/>
    </row>
    <row r="21" spans="1:13" s="91" customFormat="1" ht="15" customHeight="1">
      <c r="A21" s="267" t="s">
        <v>1383</v>
      </c>
      <c r="B21" s="742" t="s">
        <v>1384</v>
      </c>
      <c r="C21" s="445">
        <v>1</v>
      </c>
      <c r="D21" s="353" t="s">
        <v>1384</v>
      </c>
      <c r="E21" s="321">
        <f t="shared" si="1"/>
        <v>1</v>
      </c>
      <c r="F21" s="454">
        <v>2</v>
      </c>
      <c r="G21" s="445">
        <v>47</v>
      </c>
      <c r="H21" s="454">
        <v>84</v>
      </c>
      <c r="I21" s="445">
        <v>451</v>
      </c>
      <c r="M21" s="69"/>
    </row>
    <row r="22" spans="1:13" s="91" customFormat="1" ht="15" customHeight="1">
      <c r="A22" s="267" t="s">
        <v>1389</v>
      </c>
      <c r="B22" s="742" t="s">
        <v>1384</v>
      </c>
      <c r="C22" s="455" t="s">
        <v>1384</v>
      </c>
      <c r="D22" s="353" t="s">
        <v>1384</v>
      </c>
      <c r="E22" s="307" t="s">
        <v>1384</v>
      </c>
      <c r="F22" s="446" t="s">
        <v>1279</v>
      </c>
      <c r="G22" s="446" t="s">
        <v>1279</v>
      </c>
      <c r="H22" s="446" t="s">
        <v>1279</v>
      </c>
      <c r="I22" s="445" t="s">
        <v>1279</v>
      </c>
    </row>
    <row r="23" spans="1:13" s="91" customFormat="1" ht="15" customHeight="1">
      <c r="A23" s="386" t="s">
        <v>1274</v>
      </c>
      <c r="B23" s="389">
        <f>IF(SUM(B24:B29)=0,"-",SUM(B24:B29))</f>
        <v>116</v>
      </c>
      <c r="C23" s="389">
        <f>IF(SUM(C24:C29)=0,"-",SUM(C24:C29))</f>
        <v>16</v>
      </c>
      <c r="D23" s="353" t="s">
        <v>1384</v>
      </c>
      <c r="E23" s="307">
        <f t="shared" ref="E23:E29" si="2">IF(SUM(C23:D23)=0,"-",SUM(C23:D23))</f>
        <v>16</v>
      </c>
      <c r="F23" s="360">
        <f>IF(SUM(F24:F29)=0,"-",SUM(F24:F29))</f>
        <v>20</v>
      </c>
      <c r="G23" s="389">
        <f>IF(SUM(G24:G29)=0,"-",SUM(G24:G29))</f>
        <v>1381</v>
      </c>
      <c r="H23" s="360">
        <f>IF(SUM(H24:H29)=0,"-",SUM(H24:H29))</f>
        <v>1681</v>
      </c>
      <c r="I23" s="389">
        <f>IF(SUM(I24:I29)=0,"-",SUM(I24:I29))</f>
        <v>11888</v>
      </c>
    </row>
    <row r="24" spans="1:13" s="91" customFormat="1" ht="15" customHeight="1">
      <c r="A24" s="267" t="s">
        <v>1393</v>
      </c>
      <c r="B24" s="702">
        <v>30</v>
      </c>
      <c r="C24" s="445">
        <v>2</v>
      </c>
      <c r="D24" s="353" t="s">
        <v>1384</v>
      </c>
      <c r="E24" s="321">
        <f t="shared" si="2"/>
        <v>2</v>
      </c>
      <c r="F24" s="454" t="s">
        <v>1384</v>
      </c>
      <c r="G24" s="445">
        <v>341</v>
      </c>
      <c r="H24" s="454">
        <v>333</v>
      </c>
      <c r="I24" s="445">
        <v>1726</v>
      </c>
      <c r="M24" s="69"/>
    </row>
    <row r="25" spans="1:13" s="91" customFormat="1" ht="15" customHeight="1">
      <c r="A25" s="267" t="s">
        <v>1395</v>
      </c>
      <c r="B25" s="702">
        <v>30</v>
      </c>
      <c r="C25" s="445">
        <v>3</v>
      </c>
      <c r="D25" s="353" t="s">
        <v>1384</v>
      </c>
      <c r="E25" s="321">
        <f t="shared" si="2"/>
        <v>3</v>
      </c>
      <c r="F25" s="460">
        <v>3</v>
      </c>
      <c r="G25" s="445">
        <v>196</v>
      </c>
      <c r="H25" s="454">
        <v>342</v>
      </c>
      <c r="I25" s="445">
        <v>2791</v>
      </c>
      <c r="M25" s="69"/>
    </row>
    <row r="26" spans="1:13" s="91" customFormat="1" ht="15" customHeight="1">
      <c r="A26" s="267" t="s">
        <v>1396</v>
      </c>
      <c r="B26" s="702">
        <v>19</v>
      </c>
      <c r="C26" s="445">
        <v>3</v>
      </c>
      <c r="D26" s="353" t="s">
        <v>1384</v>
      </c>
      <c r="E26" s="321">
        <f t="shared" si="2"/>
        <v>3</v>
      </c>
      <c r="F26" s="454">
        <v>13</v>
      </c>
      <c r="G26" s="445">
        <v>237</v>
      </c>
      <c r="H26" s="454">
        <v>305</v>
      </c>
      <c r="I26" s="445">
        <v>1510</v>
      </c>
      <c r="M26" s="69"/>
    </row>
    <row r="27" spans="1:13" s="91" customFormat="1" ht="15" customHeight="1">
      <c r="A27" s="267" t="s">
        <v>1397</v>
      </c>
      <c r="B27" s="702">
        <v>20</v>
      </c>
      <c r="C27" s="445">
        <v>4</v>
      </c>
      <c r="D27" s="353" t="s">
        <v>1384</v>
      </c>
      <c r="E27" s="321">
        <f t="shared" si="2"/>
        <v>4</v>
      </c>
      <c r="F27" s="454">
        <v>4</v>
      </c>
      <c r="G27" s="445">
        <v>124</v>
      </c>
      <c r="H27" s="454">
        <v>361</v>
      </c>
      <c r="I27" s="445">
        <v>1917</v>
      </c>
      <c r="M27" s="69"/>
    </row>
    <row r="28" spans="1:13" s="91" customFormat="1" ht="15" customHeight="1">
      <c r="A28" s="387" t="s">
        <v>1399</v>
      </c>
      <c r="B28" s="703">
        <v>17</v>
      </c>
      <c r="C28" s="445">
        <v>3</v>
      </c>
      <c r="D28" s="353" t="s">
        <v>1384</v>
      </c>
      <c r="E28" s="321">
        <f t="shared" si="2"/>
        <v>3</v>
      </c>
      <c r="F28" s="454" t="s">
        <v>1384</v>
      </c>
      <c r="G28" s="445">
        <v>43</v>
      </c>
      <c r="H28" s="454">
        <v>331</v>
      </c>
      <c r="I28" s="445">
        <v>3709</v>
      </c>
      <c r="M28" s="69"/>
    </row>
    <row r="29" spans="1:13" s="91" customFormat="1" ht="15" customHeight="1">
      <c r="A29" s="305" t="s">
        <v>1400</v>
      </c>
      <c r="B29" s="1050" t="s">
        <v>1384</v>
      </c>
      <c r="C29" s="449">
        <v>1</v>
      </c>
      <c r="D29" s="916" t="s">
        <v>1384</v>
      </c>
      <c r="E29" s="1160">
        <f t="shared" si="2"/>
        <v>1</v>
      </c>
      <c r="F29" s="723" t="s">
        <v>1384</v>
      </c>
      <c r="G29" s="449">
        <v>440</v>
      </c>
      <c r="H29" s="723">
        <v>9</v>
      </c>
      <c r="I29" s="449">
        <v>235</v>
      </c>
      <c r="M29" s="69"/>
    </row>
    <row r="30" spans="1:13" s="91" customFormat="1" ht="14.25" customHeight="1">
      <c r="A30" s="881"/>
      <c r="B30" s="854"/>
      <c r="C30" s="454"/>
      <c r="D30" s="817"/>
      <c r="E30" s="454"/>
      <c r="F30" s="454"/>
      <c r="G30" s="454"/>
      <c r="H30" s="454"/>
      <c r="I30" s="1139" t="s">
        <v>444</v>
      </c>
      <c r="M30" s="69"/>
    </row>
    <row r="31" spans="1:13" ht="15" customHeight="1"/>
    <row r="32" spans="1:13" ht="15" customHeight="1">
      <c r="A32" s="582"/>
      <c r="B32" s="582"/>
      <c r="C32" s="582"/>
      <c r="D32" s="582"/>
      <c r="E32" s="582"/>
      <c r="F32" s="582"/>
      <c r="G32" s="582"/>
      <c r="H32" s="582"/>
      <c r="I32" s="582"/>
    </row>
    <row r="33" spans="1:13" ht="15" customHeight="1">
      <c r="A33" s="1987" t="s">
        <v>46</v>
      </c>
      <c r="B33" s="1987"/>
      <c r="C33" s="1987"/>
      <c r="D33" s="1987"/>
      <c r="E33" s="1987"/>
      <c r="F33" s="1987"/>
      <c r="G33" s="1987"/>
      <c r="H33" s="1987"/>
      <c r="I33" s="1987"/>
    </row>
    <row r="34" spans="1:13" s="91" customFormat="1" ht="12" customHeight="1">
      <c r="A34" s="481"/>
      <c r="B34" s="481"/>
      <c r="C34" s="482"/>
      <c r="D34" s="482"/>
      <c r="E34" s="482"/>
      <c r="F34" s="482"/>
      <c r="G34" s="482"/>
      <c r="H34" s="482"/>
      <c r="I34" s="484" t="s">
        <v>1001</v>
      </c>
    </row>
    <row r="35" spans="1:13" s="91" customFormat="1" ht="20.25" customHeight="1">
      <c r="A35" s="1995" t="s">
        <v>162</v>
      </c>
      <c r="B35" s="1995" t="s">
        <v>599</v>
      </c>
      <c r="C35" s="1992" t="s">
        <v>1284</v>
      </c>
      <c r="D35" s="1992"/>
      <c r="E35" s="1993"/>
      <c r="F35" s="1994" t="s">
        <v>1177</v>
      </c>
      <c r="G35" s="1992"/>
      <c r="H35" s="1992"/>
      <c r="I35" s="1993"/>
    </row>
    <row r="36" spans="1:13" s="91" customFormat="1" ht="38.25" customHeight="1">
      <c r="A36" s="1997"/>
      <c r="B36" s="1997"/>
      <c r="C36" s="607" t="s">
        <v>1277</v>
      </c>
      <c r="D36" s="351" t="s">
        <v>1278</v>
      </c>
      <c r="E36" s="1415" t="s">
        <v>979</v>
      </c>
      <c r="F36" s="607" t="s">
        <v>1280</v>
      </c>
      <c r="G36" s="351" t="s">
        <v>1281</v>
      </c>
      <c r="H36" s="607" t="s">
        <v>1282</v>
      </c>
      <c r="I36" s="393" t="s">
        <v>372</v>
      </c>
    </row>
    <row r="37" spans="1:13" s="91" customFormat="1" ht="18.75" customHeight="1">
      <c r="A37" s="600" t="s">
        <v>955</v>
      </c>
      <c r="B37" s="602" t="s">
        <v>956</v>
      </c>
      <c r="C37" s="600" t="s">
        <v>957</v>
      </c>
      <c r="D37" s="601" t="s">
        <v>958</v>
      </c>
      <c r="E37" s="602" t="s">
        <v>959</v>
      </c>
      <c r="F37" s="600" t="s">
        <v>961</v>
      </c>
      <c r="G37" s="602" t="s">
        <v>962</v>
      </c>
      <c r="H37" s="600" t="s">
        <v>990</v>
      </c>
      <c r="I37" s="600" t="s">
        <v>991</v>
      </c>
    </row>
    <row r="38" spans="1:13" s="91" customFormat="1" ht="18" customHeight="1">
      <c r="A38" s="386" t="s">
        <v>844</v>
      </c>
      <c r="B38" s="389">
        <f>IF(SUM(B39:B44)=0,"-",SUM(B39:B44))</f>
        <v>142</v>
      </c>
      <c r="C38" s="389">
        <f>IF(SUM(C39:C44)=0,"-",SUM(C39:C44))</f>
        <v>17</v>
      </c>
      <c r="D38" s="389" t="str">
        <f t="shared" ref="D38:I38" si="3">IF(SUM(D39:D44)=0,"-",SUM(D39:D44))</f>
        <v>-</v>
      </c>
      <c r="E38" s="307">
        <f t="shared" ref="E38:E55" si="4">IF(SUM(C38:D38)=0,"-",SUM(C38:D38))</f>
        <v>17</v>
      </c>
      <c r="F38" s="360">
        <f t="shared" si="3"/>
        <v>8</v>
      </c>
      <c r="G38" s="389">
        <f t="shared" si="3"/>
        <v>983</v>
      </c>
      <c r="H38" s="360">
        <f t="shared" si="3"/>
        <v>1409</v>
      </c>
      <c r="I38" s="519">
        <f t="shared" si="3"/>
        <v>10814</v>
      </c>
    </row>
    <row r="39" spans="1:13" s="91" customFormat="1" ht="18" customHeight="1">
      <c r="A39" s="267" t="s">
        <v>1269</v>
      </c>
      <c r="B39" s="702">
        <v>27</v>
      </c>
      <c r="C39" s="445">
        <v>2</v>
      </c>
      <c r="D39" s="353" t="s">
        <v>1384</v>
      </c>
      <c r="E39" s="321">
        <f t="shared" si="4"/>
        <v>2</v>
      </c>
      <c r="F39" s="445">
        <v>2</v>
      </c>
      <c r="G39" s="445">
        <v>205</v>
      </c>
      <c r="H39" s="454">
        <v>340</v>
      </c>
      <c r="I39" s="445">
        <v>2029</v>
      </c>
      <c r="M39" s="69"/>
    </row>
    <row r="40" spans="1:13" s="91" customFormat="1" ht="18" customHeight="1">
      <c r="A40" s="267" t="s">
        <v>1270</v>
      </c>
      <c r="B40" s="702">
        <v>27</v>
      </c>
      <c r="C40" s="445">
        <v>3</v>
      </c>
      <c r="D40" s="353" t="s">
        <v>1384</v>
      </c>
      <c r="E40" s="321">
        <f t="shared" si="4"/>
        <v>3</v>
      </c>
      <c r="F40" s="445" t="s">
        <v>1384</v>
      </c>
      <c r="G40" s="445">
        <v>145</v>
      </c>
      <c r="H40" s="454">
        <v>487</v>
      </c>
      <c r="I40" s="445">
        <v>1598</v>
      </c>
      <c r="M40" s="69"/>
    </row>
    <row r="41" spans="1:13" s="91" customFormat="1" ht="18" customHeight="1">
      <c r="A41" s="267" t="s">
        <v>1412</v>
      </c>
      <c r="B41" s="702">
        <v>35</v>
      </c>
      <c r="C41" s="445">
        <v>4</v>
      </c>
      <c r="D41" s="353" t="s">
        <v>1384</v>
      </c>
      <c r="E41" s="321">
        <f t="shared" si="4"/>
        <v>4</v>
      </c>
      <c r="F41" s="445">
        <v>6</v>
      </c>
      <c r="G41" s="445">
        <v>307</v>
      </c>
      <c r="H41" s="454">
        <v>132</v>
      </c>
      <c r="I41" s="445">
        <v>3913</v>
      </c>
      <c r="M41" s="69"/>
    </row>
    <row r="42" spans="1:13" s="91" customFormat="1" ht="18" customHeight="1">
      <c r="A42" s="267" t="s">
        <v>1413</v>
      </c>
      <c r="B42" s="702">
        <v>25</v>
      </c>
      <c r="C42" s="445">
        <v>3</v>
      </c>
      <c r="D42" s="353" t="s">
        <v>1384</v>
      </c>
      <c r="E42" s="321">
        <f t="shared" si="4"/>
        <v>3</v>
      </c>
      <c r="F42" s="353" t="s">
        <v>1384</v>
      </c>
      <c r="G42" s="445">
        <v>135</v>
      </c>
      <c r="H42" s="454">
        <v>198</v>
      </c>
      <c r="I42" s="445">
        <v>1249</v>
      </c>
      <c r="M42" s="69"/>
    </row>
    <row r="43" spans="1:13" s="91" customFormat="1" ht="18" customHeight="1">
      <c r="A43" s="267" t="s">
        <v>1414</v>
      </c>
      <c r="B43" s="702">
        <v>28</v>
      </c>
      <c r="C43" s="445">
        <v>4</v>
      </c>
      <c r="D43" s="353" t="s">
        <v>1384</v>
      </c>
      <c r="E43" s="321">
        <f t="shared" si="4"/>
        <v>4</v>
      </c>
      <c r="F43" s="445" t="s">
        <v>1384</v>
      </c>
      <c r="G43" s="445">
        <v>140</v>
      </c>
      <c r="H43" s="454">
        <v>250</v>
      </c>
      <c r="I43" s="445">
        <v>2022</v>
      </c>
      <c r="M43" s="69"/>
    </row>
    <row r="44" spans="1:13" s="91" customFormat="1" ht="18" customHeight="1">
      <c r="A44" s="267" t="s">
        <v>156</v>
      </c>
      <c r="B44" s="742" t="s">
        <v>1384</v>
      </c>
      <c r="C44" s="445">
        <v>1</v>
      </c>
      <c r="D44" s="353" t="s">
        <v>1384</v>
      </c>
      <c r="E44" s="321">
        <f t="shared" si="4"/>
        <v>1</v>
      </c>
      <c r="F44" s="353" t="s">
        <v>1384</v>
      </c>
      <c r="G44" s="445">
        <v>51</v>
      </c>
      <c r="H44" s="454">
        <v>2</v>
      </c>
      <c r="I44" s="445">
        <v>3</v>
      </c>
      <c r="M44" s="69"/>
    </row>
    <row r="45" spans="1:13" s="91" customFormat="1" ht="18" customHeight="1">
      <c r="A45" s="386" t="s">
        <v>1275</v>
      </c>
      <c r="B45" s="389">
        <f>IF(SUM(B46:B54)=0,"-",SUM(B46:B54))</f>
        <v>197</v>
      </c>
      <c r="C45" s="389">
        <f t="shared" ref="C45:I45" si="5">IF(SUM(C46:C54)=0,"-",SUM(C46:C54))</f>
        <v>26</v>
      </c>
      <c r="D45" s="389" t="str">
        <f t="shared" si="5"/>
        <v>-</v>
      </c>
      <c r="E45" s="389">
        <f t="shared" si="5"/>
        <v>26</v>
      </c>
      <c r="F45" s="389">
        <f t="shared" si="5"/>
        <v>33</v>
      </c>
      <c r="G45" s="389">
        <f t="shared" si="5"/>
        <v>1814</v>
      </c>
      <c r="H45" s="389">
        <f t="shared" si="5"/>
        <v>3401</v>
      </c>
      <c r="I45" s="389">
        <f t="shared" si="5"/>
        <v>18803</v>
      </c>
    </row>
    <row r="46" spans="1:13" s="91" customFormat="1" ht="18" customHeight="1">
      <c r="A46" s="267" t="s">
        <v>1419</v>
      </c>
      <c r="B46" s="702">
        <v>20</v>
      </c>
      <c r="C46" s="445">
        <v>2</v>
      </c>
      <c r="D46" s="353" t="s">
        <v>1384</v>
      </c>
      <c r="E46" s="321">
        <f t="shared" si="4"/>
        <v>2</v>
      </c>
      <c r="F46" s="445">
        <v>1</v>
      </c>
      <c r="G46" s="445">
        <v>182</v>
      </c>
      <c r="H46" s="454">
        <v>413</v>
      </c>
      <c r="I46" s="445">
        <v>1801</v>
      </c>
      <c r="M46" s="69"/>
    </row>
    <row r="47" spans="1:13" s="91" customFormat="1" ht="18" customHeight="1">
      <c r="A47" s="267" t="s">
        <v>1420</v>
      </c>
      <c r="B47" s="702">
        <v>20</v>
      </c>
      <c r="C47" s="445">
        <v>2</v>
      </c>
      <c r="D47" s="353" t="s">
        <v>1384</v>
      </c>
      <c r="E47" s="321">
        <f t="shared" si="4"/>
        <v>2</v>
      </c>
      <c r="F47" s="855">
        <v>3</v>
      </c>
      <c r="G47" s="445">
        <v>288</v>
      </c>
      <c r="H47" s="454">
        <v>295</v>
      </c>
      <c r="I47" s="445">
        <v>1460</v>
      </c>
      <c r="M47" s="69"/>
    </row>
    <row r="48" spans="1:13" s="91" customFormat="1" ht="18" customHeight="1">
      <c r="A48" s="267" t="s">
        <v>1422</v>
      </c>
      <c r="B48" s="702">
        <v>29</v>
      </c>
      <c r="C48" s="445">
        <v>3</v>
      </c>
      <c r="D48" s="353" t="s">
        <v>1384</v>
      </c>
      <c r="E48" s="321">
        <f t="shared" si="4"/>
        <v>3</v>
      </c>
      <c r="F48" s="445">
        <v>16</v>
      </c>
      <c r="G48" s="445">
        <v>245</v>
      </c>
      <c r="H48" s="454">
        <v>488</v>
      </c>
      <c r="I48" s="445">
        <v>1847</v>
      </c>
      <c r="M48" s="69"/>
    </row>
    <row r="49" spans="1:13" s="91" customFormat="1" ht="18" customHeight="1">
      <c r="A49" s="267" t="s">
        <v>1423</v>
      </c>
      <c r="B49" s="702">
        <v>25</v>
      </c>
      <c r="C49" s="445">
        <v>5</v>
      </c>
      <c r="D49" s="353" t="s">
        <v>1384</v>
      </c>
      <c r="E49" s="321">
        <f t="shared" si="4"/>
        <v>5</v>
      </c>
      <c r="F49" s="445">
        <v>3</v>
      </c>
      <c r="G49" s="445">
        <v>192</v>
      </c>
      <c r="H49" s="454">
        <v>351</v>
      </c>
      <c r="I49" s="445">
        <v>1670</v>
      </c>
      <c r="M49" s="69"/>
    </row>
    <row r="50" spans="1:13" s="91" customFormat="1" ht="18" customHeight="1">
      <c r="A50" s="267" t="s">
        <v>1425</v>
      </c>
      <c r="B50" s="702">
        <v>25</v>
      </c>
      <c r="C50" s="445">
        <v>4</v>
      </c>
      <c r="D50" s="353" t="s">
        <v>1384</v>
      </c>
      <c r="E50" s="321">
        <f t="shared" si="4"/>
        <v>4</v>
      </c>
      <c r="F50" s="445">
        <v>2</v>
      </c>
      <c r="G50" s="445">
        <v>146</v>
      </c>
      <c r="H50" s="454">
        <v>299</v>
      </c>
      <c r="I50" s="445">
        <v>1702</v>
      </c>
      <c r="M50" s="69"/>
    </row>
    <row r="51" spans="1:13" s="91" customFormat="1" ht="18" customHeight="1">
      <c r="A51" s="267" t="s">
        <v>1426</v>
      </c>
      <c r="B51" s="702">
        <v>27</v>
      </c>
      <c r="C51" s="445">
        <v>3</v>
      </c>
      <c r="D51" s="353" t="s">
        <v>1384</v>
      </c>
      <c r="E51" s="321">
        <f t="shared" si="4"/>
        <v>3</v>
      </c>
      <c r="F51" s="445">
        <v>3</v>
      </c>
      <c r="G51" s="445">
        <v>113</v>
      </c>
      <c r="H51" s="454">
        <v>639</v>
      </c>
      <c r="I51" s="445">
        <v>6544</v>
      </c>
      <c r="M51" s="69"/>
    </row>
    <row r="52" spans="1:13" s="91" customFormat="1" ht="18" customHeight="1">
      <c r="A52" s="267" t="s">
        <v>1570</v>
      </c>
      <c r="B52" s="702">
        <v>27</v>
      </c>
      <c r="C52" s="445">
        <v>3</v>
      </c>
      <c r="D52" s="353" t="s">
        <v>1384</v>
      </c>
      <c r="E52" s="321">
        <f t="shared" si="4"/>
        <v>3</v>
      </c>
      <c r="F52" s="445">
        <v>4</v>
      </c>
      <c r="G52" s="445">
        <v>130</v>
      </c>
      <c r="H52" s="454">
        <v>512</v>
      </c>
      <c r="I52" s="445">
        <v>1740</v>
      </c>
      <c r="M52" s="69"/>
    </row>
    <row r="53" spans="1:13" s="91" customFormat="1" ht="18" customHeight="1">
      <c r="A53" s="267" t="s">
        <v>1429</v>
      </c>
      <c r="B53" s="702">
        <v>24</v>
      </c>
      <c r="C53" s="445">
        <v>3</v>
      </c>
      <c r="D53" s="353" t="s">
        <v>1384</v>
      </c>
      <c r="E53" s="321">
        <f t="shared" si="4"/>
        <v>3</v>
      </c>
      <c r="F53" s="855">
        <v>1</v>
      </c>
      <c r="G53" s="445">
        <v>52</v>
      </c>
      <c r="H53" s="454">
        <v>328</v>
      </c>
      <c r="I53" s="445">
        <v>1788</v>
      </c>
      <c r="M53" s="69"/>
    </row>
    <row r="54" spans="1:13" s="91" customFormat="1" ht="18" customHeight="1">
      <c r="A54" s="267" t="s">
        <v>1427</v>
      </c>
      <c r="B54" s="742" t="s">
        <v>1384</v>
      </c>
      <c r="C54" s="445">
        <v>1</v>
      </c>
      <c r="D54" s="353" t="s">
        <v>1384</v>
      </c>
      <c r="E54" s="321">
        <f>IF(SUM(C54:D54)=0,"-",SUM(C54:D54))</f>
        <v>1</v>
      </c>
      <c r="F54" s="446" t="s">
        <v>1384</v>
      </c>
      <c r="G54" s="446">
        <v>466</v>
      </c>
      <c r="H54" s="445">
        <v>76</v>
      </c>
      <c r="I54" s="445">
        <v>251</v>
      </c>
      <c r="M54" s="69"/>
    </row>
    <row r="55" spans="1:13" s="91" customFormat="1" ht="18" customHeight="1">
      <c r="A55" s="1477" t="s">
        <v>545</v>
      </c>
      <c r="B55" s="1201" t="s">
        <v>1384</v>
      </c>
      <c r="C55" s="353" t="s">
        <v>1384</v>
      </c>
      <c r="D55" s="353" t="s">
        <v>1384</v>
      </c>
      <c r="E55" s="307" t="str">
        <f t="shared" si="4"/>
        <v>-</v>
      </c>
      <c r="F55" s="467">
        <v>49</v>
      </c>
      <c r="G55" s="467">
        <v>1559</v>
      </c>
      <c r="H55" s="467">
        <v>4</v>
      </c>
      <c r="I55" s="916">
        <v>93</v>
      </c>
      <c r="M55" s="69"/>
    </row>
    <row r="56" spans="1:13" ht="12.4" customHeight="1">
      <c r="A56" s="2000" t="s">
        <v>544</v>
      </c>
      <c r="B56" s="2000"/>
      <c r="C56" s="2000"/>
      <c r="D56" s="1233"/>
      <c r="E56" s="1233"/>
      <c r="G56" s="1299" t="s">
        <v>455</v>
      </c>
      <c r="H56" s="1135" t="s">
        <v>1722</v>
      </c>
      <c r="I56" s="1135"/>
    </row>
    <row r="57" spans="1:13" ht="15" customHeight="1">
      <c r="A57" s="2001"/>
      <c r="B57" s="2001"/>
      <c r="C57" s="2001"/>
      <c r="D57" s="504"/>
      <c r="E57" s="504"/>
      <c r="G57" s="1299" t="s">
        <v>456</v>
      </c>
      <c r="H57" s="1998" t="s">
        <v>563</v>
      </c>
      <c r="I57" s="1999"/>
    </row>
    <row r="58" spans="1:13" ht="12.75" customHeight="1">
      <c r="A58" s="71" t="s">
        <v>1716</v>
      </c>
      <c r="B58"/>
      <c r="C58" s="420"/>
      <c r="D58" s="420"/>
      <c r="F58" s="1300"/>
      <c r="H58" s="1999"/>
      <c r="I58" s="1999"/>
    </row>
    <row r="59" spans="1:13" ht="12.4" customHeight="1">
      <c r="A59" s="71" t="s">
        <v>1717</v>
      </c>
      <c r="B59"/>
      <c r="C59" s="2"/>
      <c r="D59" s="69"/>
      <c r="E59" s="69"/>
      <c r="J59" s="91"/>
    </row>
    <row r="60" spans="1:13" ht="12.4" customHeight="1">
      <c r="A60" s="71" t="s">
        <v>1718</v>
      </c>
    </row>
  </sheetData>
  <mergeCells count="14">
    <mergeCell ref="C35:E35"/>
    <mergeCell ref="F35:I35"/>
    <mergeCell ref="H57:I58"/>
    <mergeCell ref="A56:C57"/>
    <mergeCell ref="B12:I12"/>
    <mergeCell ref="A33:I33"/>
    <mergeCell ref="A35:A36"/>
    <mergeCell ref="B35:B36"/>
    <mergeCell ref="A1:I1"/>
    <mergeCell ref="A2:I2"/>
    <mergeCell ref="C4:E4"/>
    <mergeCell ref="F4:I4"/>
    <mergeCell ref="A4:A5"/>
    <mergeCell ref="B4:B5"/>
  </mergeCells>
  <phoneticPr fontId="0" type="noConversion"/>
  <conditionalFormatting sqref="A58:A60">
    <cfRule type="cellIs" dxfId="9" priority="2" stopIfTrue="1" operator="equal">
      <formula>".."</formula>
    </cfRule>
  </conditionalFormatting>
  <conditionalFormatting sqref="A58:A60">
    <cfRule type="cellIs" dxfId="8" priority="1" stopIfTrue="1" operator="equal">
      <formula>".."</formula>
    </cfRule>
  </conditionalFormatting>
  <printOptions horizontalCentered="1"/>
  <pageMargins left="0.1" right="0.1" top="0.41" bottom="0.1" header="0.28000000000000003" footer="0.1"/>
  <pageSetup paperSize="9" orientation="landscape" blackAndWhite="1" r:id="rId1"/>
  <headerFooter alignWithMargins="0"/>
  <rowBreaks count="1" manualBreakCount="1">
    <brk id="30" max="16383" man="1"/>
  </rowBreaks>
</worksheet>
</file>

<file path=xl/worksheets/sheet25.xml><?xml version="1.0" encoding="utf-8"?>
<worksheet xmlns="http://schemas.openxmlformats.org/spreadsheetml/2006/main" xmlns:r="http://schemas.openxmlformats.org/officeDocument/2006/relationships">
  <sheetPr codeName="Sheet24"/>
  <dimension ref="A1:I53"/>
  <sheetViews>
    <sheetView topLeftCell="A4" workbookViewId="0">
      <selection activeCell="I12" sqref="I12"/>
    </sheetView>
  </sheetViews>
  <sheetFormatPr defaultRowHeight="12.4" customHeight="1"/>
  <cols>
    <col min="1" max="1" width="21.7109375" customWidth="1"/>
    <col min="2" max="6" width="13.7109375" customWidth="1"/>
  </cols>
  <sheetData>
    <row r="1" spans="1:9" ht="16.5" customHeight="1">
      <c r="A1" s="1825" t="s">
        <v>791</v>
      </c>
      <c r="B1" s="1825"/>
      <c r="C1" s="1825"/>
      <c r="D1" s="1825"/>
      <c r="E1" s="1825"/>
      <c r="F1" s="1825"/>
    </row>
    <row r="2" spans="1:9" ht="34.5" customHeight="1">
      <c r="A2" s="1857" t="str">
        <f>CONCATENATE("Achievement of Universal Immunization Programme 
in the district of ",District!$A$1)</f>
        <v>Achievement of Universal Immunization Programme 
in the district of Purba Medinipur</v>
      </c>
      <c r="B2" s="1857"/>
      <c r="C2" s="1857"/>
      <c r="D2" s="1857"/>
      <c r="E2" s="1857"/>
      <c r="F2" s="1857"/>
    </row>
    <row r="3" spans="1:9" ht="12" customHeight="1">
      <c r="A3" s="7"/>
      <c r="B3" s="7"/>
      <c r="C3" s="7"/>
      <c r="D3" s="7"/>
      <c r="E3" s="7"/>
      <c r="F3" s="204" t="s">
        <v>1001</v>
      </c>
    </row>
    <row r="4" spans="1:9" ht="15.75" customHeight="1">
      <c r="A4" s="356" t="s">
        <v>899</v>
      </c>
      <c r="B4" s="405" t="s">
        <v>1302</v>
      </c>
      <c r="C4" s="160" t="s">
        <v>1303</v>
      </c>
      <c r="D4" s="429" t="s">
        <v>1304</v>
      </c>
      <c r="E4" s="160" t="s">
        <v>1305</v>
      </c>
      <c r="F4" s="160" t="s">
        <v>1306</v>
      </c>
    </row>
    <row r="5" spans="1:9" ht="18.75" customHeight="1">
      <c r="A5" s="1012" t="s">
        <v>955</v>
      </c>
      <c r="B5" s="1259" t="s">
        <v>956</v>
      </c>
      <c r="C5" s="1012" t="s">
        <v>957</v>
      </c>
      <c r="D5" s="709" t="s">
        <v>958</v>
      </c>
      <c r="E5" s="1012" t="s">
        <v>959</v>
      </c>
      <c r="F5" s="1012" t="s">
        <v>961</v>
      </c>
    </row>
    <row r="6" spans="1:9" ht="15" customHeight="1">
      <c r="A6" s="1526" t="s">
        <v>1356</v>
      </c>
      <c r="B6" s="115">
        <v>78035</v>
      </c>
      <c r="C6" s="1524">
        <v>86755</v>
      </c>
      <c r="D6" s="1524">
        <v>84408</v>
      </c>
      <c r="E6" s="1524">
        <v>89338</v>
      </c>
      <c r="F6" s="1527">
        <v>82654</v>
      </c>
    </row>
    <row r="7" spans="1:9" ht="15" customHeight="1">
      <c r="A7" s="1526" t="s">
        <v>306</v>
      </c>
      <c r="B7" s="115">
        <v>83315</v>
      </c>
      <c r="C7" s="1527">
        <v>81993</v>
      </c>
      <c r="D7" s="1525">
        <v>83454</v>
      </c>
      <c r="E7" s="1527">
        <v>91489</v>
      </c>
      <c r="F7" s="1527">
        <v>81537</v>
      </c>
    </row>
    <row r="8" spans="1:9" ht="15" customHeight="1">
      <c r="A8" s="1526" t="s">
        <v>1357</v>
      </c>
      <c r="B8" s="115">
        <v>88058</v>
      </c>
      <c r="C8" s="1524">
        <v>86201</v>
      </c>
      <c r="D8" s="1524">
        <v>70179</v>
      </c>
      <c r="E8" s="1524">
        <v>91795</v>
      </c>
      <c r="F8" s="1527">
        <v>82180</v>
      </c>
    </row>
    <row r="9" spans="1:9" ht="15" customHeight="1">
      <c r="A9" s="1526" t="s">
        <v>628</v>
      </c>
      <c r="B9" s="115">
        <v>83200</v>
      </c>
      <c r="C9" s="117">
        <v>85164</v>
      </c>
      <c r="D9" s="117">
        <v>78116</v>
      </c>
      <c r="E9" s="117">
        <v>87735</v>
      </c>
      <c r="F9" s="110">
        <v>84723</v>
      </c>
    </row>
    <row r="10" spans="1:9" ht="15" customHeight="1">
      <c r="A10" s="283" t="s">
        <v>1639</v>
      </c>
      <c r="B10" s="777">
        <f>SUM(B12,B22,B29,B36,B46)</f>
        <v>82988</v>
      </c>
      <c r="C10" s="489">
        <f>SUM(C12,C22,C29,C36,C46)</f>
        <v>82445</v>
      </c>
      <c r="D10" s="1622">
        <f>SUM(D12,D22,D29,D36,D46)</f>
        <v>88355</v>
      </c>
      <c r="E10" s="489">
        <f>SUM(E12,E22,E29,E36,E46)</f>
        <v>88430</v>
      </c>
      <c r="F10" s="732">
        <f>SUM(F12,F22,F29,F36,F46)</f>
        <v>80232</v>
      </c>
    </row>
    <row r="11" spans="1:9" ht="24.75" customHeight="1">
      <c r="A11" s="744" t="s">
        <v>924</v>
      </c>
      <c r="B11" s="2005" t="str">
        <f>"Year : " &amp; A10</f>
        <v>Year : 2013-14</v>
      </c>
      <c r="C11" s="2006"/>
      <c r="D11" s="2006"/>
      <c r="E11" s="2006"/>
      <c r="F11" s="2007"/>
    </row>
    <row r="12" spans="1:9" ht="15" customHeight="1">
      <c r="A12" s="603" t="s">
        <v>1273</v>
      </c>
      <c r="B12" s="306">
        <f>SUM(B13:B21)</f>
        <v>29975</v>
      </c>
      <c r="C12" s="389">
        <f>SUM(C13:C21)</f>
        <v>29001</v>
      </c>
      <c r="D12" s="306">
        <f>SUM(D13:D21)</f>
        <v>31577</v>
      </c>
      <c r="E12" s="389">
        <f>SUM(E13:E20)</f>
        <v>33168</v>
      </c>
      <c r="F12" s="307">
        <f>SUM(F13:F21)</f>
        <v>28375</v>
      </c>
    </row>
    <row r="13" spans="1:9" ht="15" customHeight="1">
      <c r="A13" s="267" t="s">
        <v>337</v>
      </c>
      <c r="B13" s="115">
        <v>4087</v>
      </c>
      <c r="C13" s="110">
        <v>3645</v>
      </c>
      <c r="D13" s="115">
        <v>3834</v>
      </c>
      <c r="E13" s="110">
        <v>2603</v>
      </c>
      <c r="F13" s="102">
        <v>3581</v>
      </c>
      <c r="G13" s="434"/>
      <c r="I13" s="1624"/>
    </row>
    <row r="14" spans="1:9" ht="15" customHeight="1">
      <c r="A14" s="267" t="s">
        <v>1386</v>
      </c>
      <c r="B14" s="65">
        <v>3322</v>
      </c>
      <c r="C14" s="110">
        <v>3160</v>
      </c>
      <c r="D14" s="115">
        <v>3780</v>
      </c>
      <c r="E14" s="110">
        <v>2363</v>
      </c>
      <c r="F14" s="102">
        <v>3167</v>
      </c>
      <c r="G14" s="434"/>
    </row>
    <row r="15" spans="1:9" ht="15" customHeight="1">
      <c r="A15" s="267" t="s">
        <v>1388</v>
      </c>
      <c r="B15" s="65">
        <v>5487</v>
      </c>
      <c r="C15" s="110">
        <v>5261</v>
      </c>
      <c r="D15" s="115">
        <v>5981</v>
      </c>
      <c r="E15" s="120">
        <v>4921</v>
      </c>
      <c r="F15" s="102">
        <v>5168</v>
      </c>
      <c r="G15" s="434"/>
    </row>
    <row r="16" spans="1:9" ht="15" customHeight="1">
      <c r="A16" s="165" t="s">
        <v>1568</v>
      </c>
      <c r="B16" s="65">
        <v>4806</v>
      </c>
      <c r="C16" s="110">
        <v>4817</v>
      </c>
      <c r="D16" s="115">
        <v>5116</v>
      </c>
      <c r="E16" s="120">
        <v>4376</v>
      </c>
      <c r="F16" s="102">
        <v>4507</v>
      </c>
    </row>
    <row r="17" spans="1:6" ht="15" customHeight="1">
      <c r="A17" s="267" t="s">
        <v>1390</v>
      </c>
      <c r="B17" s="65">
        <v>3708</v>
      </c>
      <c r="C17" s="110">
        <v>3706</v>
      </c>
      <c r="D17" s="115">
        <v>3771</v>
      </c>
      <c r="E17" s="120">
        <v>3519</v>
      </c>
      <c r="F17" s="102">
        <v>3688</v>
      </c>
    </row>
    <row r="18" spans="1:6" ht="15" customHeight="1">
      <c r="A18" s="267" t="s">
        <v>1391</v>
      </c>
      <c r="B18" s="65">
        <v>4624</v>
      </c>
      <c r="C18" s="110">
        <v>4473</v>
      </c>
      <c r="D18" s="115">
        <v>4722</v>
      </c>
      <c r="E18" s="120">
        <v>4007</v>
      </c>
      <c r="F18" s="102">
        <v>4421</v>
      </c>
    </row>
    <row r="19" spans="1:6" ht="15" customHeight="1">
      <c r="A19" s="604" t="s">
        <v>1392</v>
      </c>
      <c r="B19" s="65">
        <v>3358</v>
      </c>
      <c r="C19" s="110">
        <v>3441</v>
      </c>
      <c r="D19" s="115">
        <v>3890</v>
      </c>
      <c r="E19" s="120">
        <v>3309</v>
      </c>
      <c r="F19" s="102">
        <v>3329</v>
      </c>
    </row>
    <row r="20" spans="1:6" ht="15" customHeight="1">
      <c r="A20" s="267" t="s">
        <v>1383</v>
      </c>
      <c r="B20" s="65">
        <v>583</v>
      </c>
      <c r="C20" s="110">
        <v>498</v>
      </c>
      <c r="D20" s="115">
        <v>483</v>
      </c>
      <c r="E20" s="445">
        <v>8070</v>
      </c>
      <c r="F20" s="102">
        <v>514</v>
      </c>
    </row>
    <row r="21" spans="1:6" ht="15" customHeight="1">
      <c r="A21" s="267" t="s">
        <v>1389</v>
      </c>
      <c r="B21" s="445" t="s">
        <v>1279</v>
      </c>
      <c r="C21" s="445" t="s">
        <v>1279</v>
      </c>
      <c r="D21" s="445" t="s">
        <v>1279</v>
      </c>
      <c r="E21" s="445" t="s">
        <v>1279</v>
      </c>
      <c r="F21" s="445" t="s">
        <v>1279</v>
      </c>
    </row>
    <row r="22" spans="1:6" ht="15" customHeight="1">
      <c r="A22" s="386" t="s">
        <v>1274</v>
      </c>
      <c r="B22" s="306">
        <f>SUM(B23:B28)</f>
        <v>15173</v>
      </c>
      <c r="C22" s="389">
        <f>SUM(C23:C28)</f>
        <v>14819</v>
      </c>
      <c r="D22" s="306">
        <f>SUM(D23:D28)</f>
        <v>15417</v>
      </c>
      <c r="E22" s="389">
        <f>SUM(E23:E28)</f>
        <v>14656</v>
      </c>
      <c r="F22" s="307">
        <f>SUM(F23:F28)</f>
        <v>14530</v>
      </c>
    </row>
    <row r="23" spans="1:6" ht="15" customHeight="1">
      <c r="A23" s="267" t="s">
        <v>1393</v>
      </c>
      <c r="B23" s="65">
        <v>3477</v>
      </c>
      <c r="C23" s="110">
        <v>3528</v>
      </c>
      <c r="D23" s="65">
        <v>3631</v>
      </c>
      <c r="E23" s="120">
        <v>2417</v>
      </c>
      <c r="F23" s="102">
        <v>3406</v>
      </c>
    </row>
    <row r="24" spans="1:6" ht="15" customHeight="1">
      <c r="A24" s="267" t="s">
        <v>1395</v>
      </c>
      <c r="B24" s="65">
        <v>4110</v>
      </c>
      <c r="C24" s="110">
        <v>4094</v>
      </c>
      <c r="D24" s="65">
        <v>4442</v>
      </c>
      <c r="E24" s="120">
        <v>3719</v>
      </c>
      <c r="F24" s="102">
        <v>4041</v>
      </c>
    </row>
    <row r="25" spans="1:6" ht="15" customHeight="1">
      <c r="A25" s="267" t="s">
        <v>1396</v>
      </c>
      <c r="B25" s="65">
        <v>2194</v>
      </c>
      <c r="C25" s="110">
        <v>2151</v>
      </c>
      <c r="D25" s="65">
        <v>2223</v>
      </c>
      <c r="E25" s="120">
        <v>2258</v>
      </c>
      <c r="F25" s="102">
        <v>2018</v>
      </c>
    </row>
    <row r="26" spans="1:6" ht="15" customHeight="1">
      <c r="A26" s="267" t="s">
        <v>1397</v>
      </c>
      <c r="B26" s="65">
        <v>2242</v>
      </c>
      <c r="C26" s="110">
        <v>2152</v>
      </c>
      <c r="D26" s="65">
        <v>2259</v>
      </c>
      <c r="E26" s="120">
        <v>1353</v>
      </c>
      <c r="F26" s="102">
        <v>2157</v>
      </c>
    </row>
    <row r="27" spans="1:6" ht="15" customHeight="1">
      <c r="A27" s="387" t="s">
        <v>1399</v>
      </c>
      <c r="B27" s="65">
        <v>1582</v>
      </c>
      <c r="C27" s="110">
        <v>1572</v>
      </c>
      <c r="D27" s="65">
        <v>1674</v>
      </c>
      <c r="E27" s="120">
        <v>960</v>
      </c>
      <c r="F27" s="102">
        <v>1502</v>
      </c>
    </row>
    <row r="28" spans="1:6" ht="15" customHeight="1">
      <c r="A28" s="267" t="s">
        <v>1400</v>
      </c>
      <c r="B28" s="65">
        <v>1568</v>
      </c>
      <c r="C28" s="110">
        <v>1322</v>
      </c>
      <c r="D28" s="65">
        <v>1188</v>
      </c>
      <c r="E28" s="120">
        <v>3949</v>
      </c>
      <c r="F28" s="102">
        <v>1406</v>
      </c>
    </row>
    <row r="29" spans="1:6" ht="15" customHeight="1">
      <c r="A29" s="527" t="s">
        <v>844</v>
      </c>
      <c r="B29" s="1441">
        <f>SUM(B30:B35)</f>
        <v>15738</v>
      </c>
      <c r="C29" s="1441">
        <f>SUM(C30:C35)</f>
        <v>16591</v>
      </c>
      <c r="D29" s="1441">
        <f>SUM(D30:D35)</f>
        <v>18283</v>
      </c>
      <c r="E29" s="1441">
        <f>SUM(E30:E35)</f>
        <v>17098</v>
      </c>
      <c r="F29" s="1441">
        <f>SUM(F30:F35)</f>
        <v>15766</v>
      </c>
    </row>
    <row r="30" spans="1:6" ht="15" customHeight="1">
      <c r="A30" s="267" t="s">
        <v>1269</v>
      </c>
      <c r="B30" s="65">
        <v>2803</v>
      </c>
      <c r="C30" s="120">
        <v>2934</v>
      </c>
      <c r="D30" s="65">
        <v>3340</v>
      </c>
      <c r="E30" s="120">
        <v>2489</v>
      </c>
      <c r="F30" s="124">
        <v>2779</v>
      </c>
    </row>
    <row r="31" spans="1:6" ht="15" customHeight="1">
      <c r="A31" s="267" t="s">
        <v>1270</v>
      </c>
      <c r="B31" s="65">
        <v>3024</v>
      </c>
      <c r="C31" s="120">
        <v>3373</v>
      </c>
      <c r="D31" s="65">
        <v>3642</v>
      </c>
      <c r="E31" s="120">
        <v>2640</v>
      </c>
      <c r="F31" s="124">
        <v>3099</v>
      </c>
    </row>
    <row r="32" spans="1:6" ht="15" customHeight="1">
      <c r="A32" s="267" t="s">
        <v>1412</v>
      </c>
      <c r="B32" s="65">
        <v>4435</v>
      </c>
      <c r="C32" s="120">
        <v>4428</v>
      </c>
      <c r="D32" s="65">
        <v>4821</v>
      </c>
      <c r="E32" s="120">
        <v>4281</v>
      </c>
      <c r="F32" s="124">
        <v>4121</v>
      </c>
    </row>
    <row r="33" spans="1:9" ht="15" customHeight="1">
      <c r="A33" s="267" t="s">
        <v>1413</v>
      </c>
      <c r="B33" s="65">
        <v>2669</v>
      </c>
      <c r="C33" s="120">
        <v>2929</v>
      </c>
      <c r="D33" s="65">
        <v>3488</v>
      </c>
      <c r="E33" s="120">
        <v>2597</v>
      </c>
      <c r="F33" s="124">
        <v>2877</v>
      </c>
    </row>
    <row r="34" spans="1:9" ht="15" customHeight="1">
      <c r="A34" s="267" t="s">
        <v>1414</v>
      </c>
      <c r="B34" s="65">
        <v>2807</v>
      </c>
      <c r="C34" s="120">
        <v>2927</v>
      </c>
      <c r="D34" s="65">
        <v>2992</v>
      </c>
      <c r="E34" s="120">
        <v>2239</v>
      </c>
      <c r="F34" s="124">
        <v>2890</v>
      </c>
    </row>
    <row r="35" spans="1:9" ht="15" customHeight="1">
      <c r="A35" s="267" t="s">
        <v>156</v>
      </c>
      <c r="B35" s="609" t="s">
        <v>1384</v>
      </c>
      <c r="C35" s="445" t="s">
        <v>1384</v>
      </c>
      <c r="D35" s="609" t="s">
        <v>1384</v>
      </c>
      <c r="E35" s="445">
        <v>2852</v>
      </c>
      <c r="F35" s="447" t="s">
        <v>1384</v>
      </c>
    </row>
    <row r="36" spans="1:9" ht="15" customHeight="1">
      <c r="A36" s="386" t="s">
        <v>1275</v>
      </c>
      <c r="B36" s="306">
        <f>SUM(B37:B45)</f>
        <v>21846</v>
      </c>
      <c r="C36" s="389">
        <f>SUM(C37:C45)</f>
        <v>22034</v>
      </c>
      <c r="D36" s="306">
        <f>SUM(D37:D45)</f>
        <v>23078</v>
      </c>
      <c r="E36" s="389">
        <f>SUM(E37:E45)</f>
        <v>23508</v>
      </c>
      <c r="F36" s="307">
        <f>SUM(F37:F45)</f>
        <v>21561</v>
      </c>
    </row>
    <row r="37" spans="1:9" ht="15" customHeight="1">
      <c r="A37" s="267" t="s">
        <v>1419</v>
      </c>
      <c r="B37" s="65">
        <v>2340</v>
      </c>
      <c r="C37" s="120">
        <v>2224</v>
      </c>
      <c r="D37" s="65">
        <v>2343</v>
      </c>
      <c r="E37" s="120">
        <v>1889</v>
      </c>
      <c r="F37" s="124">
        <v>2222</v>
      </c>
      <c r="I37" s="425"/>
    </row>
    <row r="38" spans="1:9" ht="15" customHeight="1">
      <c r="A38" s="267" t="s">
        <v>1420</v>
      </c>
      <c r="B38" s="65">
        <v>2653</v>
      </c>
      <c r="C38" s="120">
        <v>2644</v>
      </c>
      <c r="D38" s="65">
        <v>2815</v>
      </c>
      <c r="E38" s="120">
        <v>2462</v>
      </c>
      <c r="F38" s="124">
        <v>2558</v>
      </c>
      <c r="I38" s="425"/>
    </row>
    <row r="39" spans="1:9" ht="15" customHeight="1">
      <c r="A39" s="267" t="s">
        <v>1422</v>
      </c>
      <c r="B39" s="65">
        <v>3167</v>
      </c>
      <c r="C39" s="120">
        <v>3216</v>
      </c>
      <c r="D39" s="65">
        <v>3475</v>
      </c>
      <c r="E39" s="120">
        <v>3380</v>
      </c>
      <c r="F39" s="124">
        <v>3128</v>
      </c>
      <c r="I39" s="425"/>
    </row>
    <row r="40" spans="1:9" ht="15" customHeight="1">
      <c r="A40" s="267" t="s">
        <v>1423</v>
      </c>
      <c r="B40" s="65">
        <v>2624</v>
      </c>
      <c r="C40" s="120">
        <v>2746</v>
      </c>
      <c r="D40" s="65">
        <v>2727</v>
      </c>
      <c r="E40" s="120">
        <v>2650</v>
      </c>
      <c r="F40" s="124">
        <v>2618</v>
      </c>
      <c r="I40" s="425"/>
    </row>
    <row r="41" spans="1:9" ht="15" customHeight="1">
      <c r="A41" s="267" t="s">
        <v>1425</v>
      </c>
      <c r="B41" s="65">
        <v>2437</v>
      </c>
      <c r="C41" s="120">
        <v>2406</v>
      </c>
      <c r="D41" s="65">
        <v>2871</v>
      </c>
      <c r="E41" s="120">
        <v>1563</v>
      </c>
      <c r="F41" s="124">
        <v>2243</v>
      </c>
    </row>
    <row r="42" spans="1:9" ht="15" customHeight="1">
      <c r="A42" s="267" t="s">
        <v>1426</v>
      </c>
      <c r="B42" s="65">
        <v>2658</v>
      </c>
      <c r="C42" s="120">
        <v>2598</v>
      </c>
      <c r="D42" s="65">
        <v>2615</v>
      </c>
      <c r="E42" s="120">
        <v>1292</v>
      </c>
      <c r="F42" s="124">
        <v>2683</v>
      </c>
    </row>
    <row r="43" spans="1:9" ht="15" customHeight="1">
      <c r="A43" s="604" t="s">
        <v>1570</v>
      </c>
      <c r="B43" s="65">
        <v>2899</v>
      </c>
      <c r="C43" s="120">
        <v>2935</v>
      </c>
      <c r="D43" s="65">
        <v>2912</v>
      </c>
      <c r="E43" s="120">
        <v>1820</v>
      </c>
      <c r="F43" s="124">
        <v>2941</v>
      </c>
    </row>
    <row r="44" spans="1:9" ht="15" customHeight="1">
      <c r="A44" s="267" t="s">
        <v>1429</v>
      </c>
      <c r="B44" s="65">
        <v>2565</v>
      </c>
      <c r="C44" s="120">
        <v>2555</v>
      </c>
      <c r="D44" s="65">
        <v>2584</v>
      </c>
      <c r="E44" s="120">
        <v>1488</v>
      </c>
      <c r="F44" s="124">
        <v>2534</v>
      </c>
    </row>
    <row r="45" spans="1:9" ht="15" customHeight="1">
      <c r="A45" s="267" t="s">
        <v>1427</v>
      </c>
      <c r="B45" s="104">
        <v>503</v>
      </c>
      <c r="C45" s="120">
        <v>710</v>
      </c>
      <c r="D45" s="65">
        <v>736</v>
      </c>
      <c r="E45" s="120">
        <v>6964</v>
      </c>
      <c r="F45" s="124">
        <v>634</v>
      </c>
    </row>
    <row r="46" spans="1:9" ht="15" customHeight="1">
      <c r="A46" s="570" t="s">
        <v>545</v>
      </c>
      <c r="B46" s="1416">
        <v>256</v>
      </c>
      <c r="C46" s="1416" t="s">
        <v>918</v>
      </c>
      <c r="D46" s="1268" t="s">
        <v>918</v>
      </c>
      <c r="E46" s="1268" t="s">
        <v>918</v>
      </c>
      <c r="F46" s="1268" t="s">
        <v>918</v>
      </c>
    </row>
    <row r="47" spans="1:9" ht="12.4" customHeight="1">
      <c r="A47" s="2008" t="s">
        <v>438</v>
      </c>
      <c r="B47" s="2009"/>
      <c r="C47" s="1404"/>
      <c r="D47" s="418"/>
      <c r="E47" s="418"/>
      <c r="F47" s="1063" t="s">
        <v>484</v>
      </c>
    </row>
    <row r="48" spans="1:9" ht="13.5" customHeight="1">
      <c r="A48" s="2010"/>
      <c r="B48" s="2010"/>
      <c r="C48" s="1405"/>
      <c r="D48" s="67"/>
      <c r="E48" s="67"/>
      <c r="F48" s="67"/>
    </row>
    <row r="49" spans="1:6" ht="12.4" customHeight="1">
      <c r="A49" s="1137" t="s">
        <v>845</v>
      </c>
      <c r="B49" s="1130"/>
      <c r="E49" s="1111"/>
    </row>
    <row r="50" spans="1:6" ht="12.4" customHeight="1">
      <c r="A50" s="1138" t="s">
        <v>892</v>
      </c>
      <c r="B50" s="1130"/>
      <c r="E50" s="1118"/>
    </row>
    <row r="51" spans="1:6" ht="12.4" customHeight="1">
      <c r="A51" s="1138" t="s">
        <v>440</v>
      </c>
      <c r="B51" s="71"/>
      <c r="C51" s="1041"/>
      <c r="F51" s="62"/>
    </row>
    <row r="53" spans="1:6" ht="12.4" customHeight="1">
      <c r="A53" s="62"/>
      <c r="B53" s="62"/>
      <c r="C53" s="62"/>
      <c r="D53" s="62"/>
      <c r="E53" s="62"/>
      <c r="F53" s="62"/>
    </row>
  </sheetData>
  <mergeCells count="4">
    <mergeCell ref="A2:F2"/>
    <mergeCell ref="B11:F11"/>
    <mergeCell ref="A1:F1"/>
    <mergeCell ref="A47:B48"/>
  </mergeCells>
  <phoneticPr fontId="0" type="noConversion"/>
  <printOptions horizontalCentered="1"/>
  <pageMargins left="0.1" right="0.1" top="0.55000000000000004" bottom="0.1" header="0.5" footer="0.1"/>
  <pageSetup paperSize="9" orientation="portrait" blackAndWhite="1" r:id="rId1"/>
  <headerFooter alignWithMargins="0"/>
</worksheet>
</file>

<file path=xl/worksheets/sheet26.xml><?xml version="1.0" encoding="utf-8"?>
<worksheet xmlns="http://schemas.openxmlformats.org/spreadsheetml/2006/main" xmlns:r="http://schemas.openxmlformats.org/officeDocument/2006/relationships">
  <sheetPr codeName="Sheet25"/>
  <dimension ref="A1:G50"/>
  <sheetViews>
    <sheetView topLeftCell="A10" workbookViewId="0">
      <selection activeCell="H56" sqref="H56"/>
    </sheetView>
  </sheetViews>
  <sheetFormatPr defaultRowHeight="12.4" customHeight="1"/>
  <cols>
    <col min="1" max="1" width="22.28515625" style="62" customWidth="1"/>
    <col min="2" max="4" width="18.7109375" style="62" customWidth="1"/>
    <col min="5" max="5" width="12.42578125" style="62" customWidth="1"/>
    <col min="6" max="16384" width="9.140625" style="62"/>
  </cols>
  <sheetData>
    <row r="1" spans="1:7" ht="17.25" customHeight="1">
      <c r="A1" s="1987" t="s">
        <v>790</v>
      </c>
      <c r="B1" s="1987"/>
      <c r="C1" s="1987"/>
      <c r="D1" s="1987"/>
      <c r="E1" s="1647"/>
    </row>
    <row r="2" spans="1:7" ht="37.5" customHeight="1">
      <c r="A2" s="2012" t="str">
        <f>CONCATENATE(" Patients treated in Hospitals, Health Centres and 
 Sub-centres in the district of ",District!$A$1)</f>
        <v xml:space="preserve"> Patients treated in Hospitals, Health Centres and 
 Sub-centres in the district of Purba Medinipur</v>
      </c>
      <c r="B2" s="2012"/>
      <c r="C2" s="2012"/>
      <c r="D2" s="2012"/>
      <c r="E2" s="1648"/>
    </row>
    <row r="3" spans="1:7" ht="12.75" customHeight="1">
      <c r="A3" s="61"/>
      <c r="B3" s="61"/>
      <c r="C3" s="61"/>
      <c r="D3" s="484" t="s">
        <v>1001</v>
      </c>
      <c r="E3" s="484"/>
    </row>
    <row r="4" spans="1:7" ht="14.25" customHeight="1">
      <c r="A4" s="393" t="s">
        <v>899</v>
      </c>
      <c r="B4" s="612" t="s">
        <v>1307</v>
      </c>
      <c r="C4" s="613" t="s">
        <v>1308</v>
      </c>
      <c r="D4" s="1657" t="s">
        <v>979</v>
      </c>
      <c r="E4" s="781"/>
    </row>
    <row r="5" spans="1:7" ht="13.5" customHeight="1">
      <c r="A5" s="600" t="s">
        <v>955</v>
      </c>
      <c r="B5" s="602" t="s">
        <v>956</v>
      </c>
      <c r="C5" s="600" t="s">
        <v>957</v>
      </c>
      <c r="D5" s="600" t="s">
        <v>958</v>
      </c>
      <c r="E5" s="1655"/>
    </row>
    <row r="6" spans="1:7" ht="15.95" customHeight="1">
      <c r="A6" s="598">
        <v>2010</v>
      </c>
      <c r="B6" s="454">
        <v>133568</v>
      </c>
      <c r="C6" s="445">
        <v>5577999</v>
      </c>
      <c r="D6" s="995">
        <f>SUM(B6,C6)</f>
        <v>5711567</v>
      </c>
      <c r="E6" s="1656"/>
    </row>
    <row r="7" spans="1:7" ht="15.95" customHeight="1">
      <c r="A7" s="598">
        <v>2011</v>
      </c>
      <c r="B7" s="454">
        <v>139177</v>
      </c>
      <c r="C7" s="445">
        <v>5506911</v>
      </c>
      <c r="D7" s="995">
        <f t="shared" ref="D7:D10" si="0">SUM(B7,C7)</f>
        <v>5646088</v>
      </c>
      <c r="E7" s="1656"/>
    </row>
    <row r="8" spans="1:7" ht="15.95" customHeight="1">
      <c r="A8" s="598">
        <v>2012</v>
      </c>
      <c r="B8" s="454">
        <v>156953</v>
      </c>
      <c r="C8" s="445">
        <v>5727273</v>
      </c>
      <c r="D8" s="995">
        <f t="shared" si="0"/>
        <v>5884226</v>
      </c>
      <c r="E8" s="1656"/>
    </row>
    <row r="9" spans="1:7" ht="15.95" customHeight="1">
      <c r="A9" s="598">
        <v>2013</v>
      </c>
      <c r="B9" s="454">
        <v>164314</v>
      </c>
      <c r="C9" s="445">
        <v>6307192</v>
      </c>
      <c r="D9" s="995">
        <f t="shared" si="0"/>
        <v>6471506</v>
      </c>
      <c r="E9" s="1656"/>
    </row>
    <row r="10" spans="1:7" ht="15.95" customHeight="1">
      <c r="A10" s="941">
        <v>2014</v>
      </c>
      <c r="B10" s="723">
        <f>SUM(B12,B22,B29,B36)</f>
        <v>172251</v>
      </c>
      <c r="C10" s="449">
        <f>SUM(C12,C22,C29,C36)</f>
        <v>3319411</v>
      </c>
      <c r="D10" s="995">
        <f t="shared" si="0"/>
        <v>3491662</v>
      </c>
      <c r="E10" s="1656"/>
      <c r="F10" s="743"/>
      <c r="G10" s="743"/>
    </row>
    <row r="11" spans="1:7" ht="30" customHeight="1">
      <c r="A11" s="393" t="s">
        <v>248</v>
      </c>
      <c r="B11" s="2002" t="str">
        <f>"Year : " &amp; A10</f>
        <v>Year : 2014</v>
      </c>
      <c r="C11" s="2003"/>
      <c r="D11" s="2004"/>
      <c r="E11" s="1647"/>
    </row>
    <row r="12" spans="1:7" ht="15" customHeight="1">
      <c r="A12" s="603" t="s">
        <v>1273</v>
      </c>
      <c r="B12" s="306">
        <f>SUM(B13:B21)</f>
        <v>61084</v>
      </c>
      <c r="C12" s="519">
        <f>SUM(C13:C21)</f>
        <v>1251099</v>
      </c>
      <c r="D12" s="307">
        <f>SUM(D13:D21)</f>
        <v>1312183</v>
      </c>
      <c r="E12" s="360"/>
    </row>
    <row r="13" spans="1:7" ht="15" customHeight="1">
      <c r="A13" s="267" t="s">
        <v>200</v>
      </c>
      <c r="B13" s="609">
        <v>1562</v>
      </c>
      <c r="C13" s="120">
        <v>112955</v>
      </c>
      <c r="D13" s="120">
        <f t="shared" ref="D13:D20" si="1">SUM(B13,C13)</f>
        <v>114517</v>
      </c>
      <c r="E13" s="104"/>
    </row>
    <row r="14" spans="1:7" ht="15" customHeight="1">
      <c r="A14" s="267" t="s">
        <v>1386</v>
      </c>
      <c r="B14" s="65">
        <v>2780</v>
      </c>
      <c r="C14" s="120">
        <v>129042</v>
      </c>
      <c r="D14" s="120">
        <f t="shared" si="1"/>
        <v>131822</v>
      </c>
      <c r="E14" s="104"/>
    </row>
    <row r="15" spans="1:7" ht="15" customHeight="1">
      <c r="A15" s="267" t="s">
        <v>1388</v>
      </c>
      <c r="B15" s="65">
        <v>2990</v>
      </c>
      <c r="C15" s="120">
        <v>96429</v>
      </c>
      <c r="D15" s="120">
        <f t="shared" si="1"/>
        <v>99419</v>
      </c>
      <c r="E15" s="104"/>
    </row>
    <row r="16" spans="1:7" ht="15" customHeight="1">
      <c r="A16" s="285" t="s">
        <v>1385</v>
      </c>
      <c r="B16" s="65">
        <v>2603</v>
      </c>
      <c r="C16" s="120">
        <v>171990</v>
      </c>
      <c r="D16" s="120">
        <f t="shared" si="1"/>
        <v>174593</v>
      </c>
      <c r="E16" s="104"/>
    </row>
    <row r="17" spans="1:5" ht="15" customHeight="1">
      <c r="A17" s="267" t="s">
        <v>1390</v>
      </c>
      <c r="B17" s="65">
        <v>5913</v>
      </c>
      <c r="C17" s="120">
        <v>124750</v>
      </c>
      <c r="D17" s="120">
        <f t="shared" si="1"/>
        <v>130663</v>
      </c>
      <c r="E17" s="104"/>
    </row>
    <row r="18" spans="1:5" ht="15" customHeight="1">
      <c r="A18" s="267" t="s">
        <v>1391</v>
      </c>
      <c r="B18" s="65">
        <v>4288</v>
      </c>
      <c r="C18" s="120">
        <v>160721</v>
      </c>
      <c r="D18" s="120">
        <f t="shared" si="1"/>
        <v>165009</v>
      </c>
      <c r="E18" s="104"/>
    </row>
    <row r="19" spans="1:5" ht="15" customHeight="1">
      <c r="A19" s="267" t="s">
        <v>1569</v>
      </c>
      <c r="B19" s="65">
        <v>2786</v>
      </c>
      <c r="C19" s="120">
        <v>113257</v>
      </c>
      <c r="D19" s="120">
        <f t="shared" si="1"/>
        <v>116043</v>
      </c>
      <c r="E19" s="104"/>
    </row>
    <row r="20" spans="1:5" ht="15" customHeight="1">
      <c r="A20" s="267" t="s">
        <v>1383</v>
      </c>
      <c r="B20" s="65">
        <v>38162</v>
      </c>
      <c r="C20" s="120">
        <v>341955</v>
      </c>
      <c r="D20" s="120">
        <f t="shared" si="1"/>
        <v>380117</v>
      </c>
      <c r="E20" s="104"/>
    </row>
    <row r="21" spans="1:5" ht="15" customHeight="1">
      <c r="A21" s="267" t="s">
        <v>1389</v>
      </c>
      <c r="B21" s="426" t="s">
        <v>918</v>
      </c>
      <c r="C21" s="427" t="s">
        <v>918</v>
      </c>
      <c r="D21" s="427" t="s">
        <v>918</v>
      </c>
      <c r="E21" s="1654"/>
    </row>
    <row r="22" spans="1:5" ht="15" customHeight="1">
      <c r="A22" s="386" t="s">
        <v>1274</v>
      </c>
      <c r="B22" s="306">
        <f>SUM(B23:B28)</f>
        <v>27586</v>
      </c>
      <c r="C22" s="389">
        <f>SUM(C23:C28)</f>
        <v>757876</v>
      </c>
      <c r="D22" s="307">
        <f>SUM(D23:D28)</f>
        <v>785462</v>
      </c>
      <c r="E22" s="360"/>
    </row>
    <row r="23" spans="1:5" ht="15" customHeight="1">
      <c r="A23" s="267" t="s">
        <v>1393</v>
      </c>
      <c r="B23" s="65">
        <v>4331</v>
      </c>
      <c r="C23" s="120">
        <v>109019</v>
      </c>
      <c r="D23" s="120">
        <f t="shared" ref="D23:D30" si="2">SUM(B23,C23)</f>
        <v>113350</v>
      </c>
      <c r="E23" s="104"/>
    </row>
    <row r="24" spans="1:5" ht="15" customHeight="1">
      <c r="A24" s="267" t="s">
        <v>1395</v>
      </c>
      <c r="B24" s="65">
        <v>3958</v>
      </c>
      <c r="C24" s="120">
        <v>165506</v>
      </c>
      <c r="D24" s="120">
        <f t="shared" si="2"/>
        <v>169464</v>
      </c>
      <c r="E24" s="104"/>
    </row>
    <row r="25" spans="1:5" ht="15" customHeight="1">
      <c r="A25" s="267" t="s">
        <v>1396</v>
      </c>
      <c r="B25" s="65">
        <v>3599</v>
      </c>
      <c r="C25" s="120">
        <v>69988</v>
      </c>
      <c r="D25" s="120">
        <f t="shared" si="2"/>
        <v>73587</v>
      </c>
      <c r="E25" s="104"/>
    </row>
    <row r="26" spans="1:5" ht="15" customHeight="1">
      <c r="A26" s="267" t="s">
        <v>1397</v>
      </c>
      <c r="B26" s="65">
        <v>598</v>
      </c>
      <c r="C26" s="120">
        <v>154662</v>
      </c>
      <c r="D26" s="120">
        <f t="shared" si="2"/>
        <v>155260</v>
      </c>
      <c r="E26" s="104"/>
    </row>
    <row r="27" spans="1:5" ht="15" customHeight="1">
      <c r="A27" s="387" t="s">
        <v>1399</v>
      </c>
      <c r="B27" s="609">
        <v>24</v>
      </c>
      <c r="C27" s="120">
        <v>48514</v>
      </c>
      <c r="D27" s="120">
        <f t="shared" si="2"/>
        <v>48538</v>
      </c>
      <c r="E27" s="104"/>
    </row>
    <row r="28" spans="1:5" ht="15" customHeight="1">
      <c r="A28" s="267" t="s">
        <v>1400</v>
      </c>
      <c r="B28" s="65">
        <v>15076</v>
      </c>
      <c r="C28" s="120">
        <v>210187</v>
      </c>
      <c r="D28" s="120">
        <f t="shared" si="2"/>
        <v>225263</v>
      </c>
      <c r="E28" s="104"/>
    </row>
    <row r="29" spans="1:5" ht="15" customHeight="1">
      <c r="A29" s="386" t="s">
        <v>844</v>
      </c>
      <c r="B29" s="306">
        <f>SUM(B30:B35)</f>
        <v>23699</v>
      </c>
      <c r="C29" s="389">
        <f>SUM(C30:C35)</f>
        <v>419829</v>
      </c>
      <c r="D29" s="307">
        <f>SUM(D30:D35)</f>
        <v>443528</v>
      </c>
      <c r="E29" s="360"/>
    </row>
    <row r="30" spans="1:5" ht="15" customHeight="1">
      <c r="A30" s="267" t="s">
        <v>1269</v>
      </c>
      <c r="B30" s="65">
        <v>1296</v>
      </c>
      <c r="C30" s="120">
        <v>48668</v>
      </c>
      <c r="D30" s="120">
        <f t="shared" si="2"/>
        <v>49964</v>
      </c>
      <c r="E30" s="104"/>
    </row>
    <row r="31" spans="1:5" ht="15" customHeight="1">
      <c r="A31" s="267" t="s">
        <v>1270</v>
      </c>
      <c r="B31" s="65">
        <v>564</v>
      </c>
      <c r="C31" s="120">
        <v>79600</v>
      </c>
      <c r="D31" s="120">
        <f t="shared" ref="D31:D35" si="3">SUM(B31,C31)</f>
        <v>80164</v>
      </c>
      <c r="E31" s="104"/>
    </row>
    <row r="32" spans="1:5" ht="15" customHeight="1">
      <c r="A32" s="267" t="s">
        <v>1412</v>
      </c>
      <c r="B32" s="65">
        <v>2670</v>
      </c>
      <c r="C32" s="445">
        <v>100040</v>
      </c>
      <c r="D32" s="445">
        <f t="shared" si="3"/>
        <v>102710</v>
      </c>
      <c r="E32" s="454"/>
    </row>
    <row r="33" spans="1:5" ht="15" customHeight="1">
      <c r="A33" s="267" t="s">
        <v>1413</v>
      </c>
      <c r="B33" s="609">
        <v>439</v>
      </c>
      <c r="C33" s="445">
        <v>45786</v>
      </c>
      <c r="D33" s="445">
        <f t="shared" si="3"/>
        <v>46225</v>
      </c>
      <c r="E33" s="454"/>
    </row>
    <row r="34" spans="1:5" ht="15" customHeight="1">
      <c r="A34" s="267" t="s">
        <v>1414</v>
      </c>
      <c r="B34" s="65">
        <v>2597</v>
      </c>
      <c r="C34" s="120">
        <v>76615</v>
      </c>
      <c r="D34" s="120">
        <f t="shared" si="3"/>
        <v>79212</v>
      </c>
      <c r="E34" s="104"/>
    </row>
    <row r="35" spans="1:5" ht="15" customHeight="1">
      <c r="A35" s="267" t="s">
        <v>156</v>
      </c>
      <c r="B35" s="609">
        <v>16133</v>
      </c>
      <c r="C35" s="445">
        <v>69120</v>
      </c>
      <c r="D35" s="445">
        <f t="shared" si="3"/>
        <v>85253</v>
      </c>
      <c r="E35" s="454"/>
    </row>
    <row r="36" spans="1:5" ht="15" customHeight="1">
      <c r="A36" s="386" t="s">
        <v>1275</v>
      </c>
      <c r="B36" s="306">
        <f>SUM(B37:B45)</f>
        <v>59882</v>
      </c>
      <c r="C36" s="389">
        <f>SUM(C37:C45)</f>
        <v>890607</v>
      </c>
      <c r="D36" s="307">
        <f>SUM(D37:D45)</f>
        <v>950489</v>
      </c>
      <c r="E36" s="360"/>
    </row>
    <row r="37" spans="1:5" ht="15" customHeight="1">
      <c r="A37" s="267" t="s">
        <v>1419</v>
      </c>
      <c r="B37" s="609">
        <v>3093</v>
      </c>
      <c r="C37" s="120">
        <v>76421</v>
      </c>
      <c r="D37" s="120">
        <f t="shared" ref="D37:D45" si="4">SUM(B37,C37)</f>
        <v>79514</v>
      </c>
      <c r="E37" s="104"/>
    </row>
    <row r="38" spans="1:5" ht="15" customHeight="1">
      <c r="A38" s="267" t="s">
        <v>1420</v>
      </c>
      <c r="B38" s="609">
        <v>2533</v>
      </c>
      <c r="C38" s="120">
        <v>61972</v>
      </c>
      <c r="D38" s="120">
        <f t="shared" si="4"/>
        <v>64505</v>
      </c>
      <c r="E38" s="104"/>
    </row>
    <row r="39" spans="1:5" ht="15" customHeight="1">
      <c r="A39" s="267" t="s">
        <v>1422</v>
      </c>
      <c r="B39" s="65">
        <v>7302</v>
      </c>
      <c r="C39" s="120">
        <v>94408</v>
      </c>
      <c r="D39" s="120">
        <f t="shared" si="4"/>
        <v>101710</v>
      </c>
      <c r="E39" s="104"/>
    </row>
    <row r="40" spans="1:5" ht="15" customHeight="1">
      <c r="A40" s="267" t="s">
        <v>1423</v>
      </c>
      <c r="B40" s="65">
        <v>8687</v>
      </c>
      <c r="C40" s="120">
        <v>129607</v>
      </c>
      <c r="D40" s="120">
        <f t="shared" si="4"/>
        <v>138294</v>
      </c>
      <c r="E40" s="104"/>
    </row>
    <row r="41" spans="1:5" ht="15" customHeight="1">
      <c r="A41" s="267" t="s">
        <v>1425</v>
      </c>
      <c r="B41" s="65">
        <v>2692</v>
      </c>
      <c r="C41" s="120">
        <v>117826</v>
      </c>
      <c r="D41" s="120">
        <f t="shared" si="4"/>
        <v>120518</v>
      </c>
      <c r="E41" s="104"/>
    </row>
    <row r="42" spans="1:5" ht="15" customHeight="1">
      <c r="A42" s="267" t="s">
        <v>1426</v>
      </c>
      <c r="B42" s="65">
        <v>2163</v>
      </c>
      <c r="C42" s="120">
        <v>96446</v>
      </c>
      <c r="D42" s="120">
        <f t="shared" si="4"/>
        <v>98609</v>
      </c>
      <c r="E42" s="104"/>
    </row>
    <row r="43" spans="1:5" ht="15" customHeight="1">
      <c r="A43" s="604" t="s">
        <v>1570</v>
      </c>
      <c r="B43" s="609">
        <v>2016</v>
      </c>
      <c r="C43" s="120">
        <v>79034</v>
      </c>
      <c r="D43" s="120">
        <f t="shared" si="4"/>
        <v>81050</v>
      </c>
      <c r="E43" s="104"/>
    </row>
    <row r="44" spans="1:5" ht="15" customHeight="1">
      <c r="A44" s="267" t="s">
        <v>1429</v>
      </c>
      <c r="B44" s="65">
        <v>515</v>
      </c>
      <c r="C44" s="120">
        <v>126451</v>
      </c>
      <c r="D44" s="120">
        <f t="shared" si="4"/>
        <v>126966</v>
      </c>
      <c r="E44" s="104"/>
    </row>
    <row r="45" spans="1:5" ht="15" customHeight="1">
      <c r="A45" s="305" t="s">
        <v>1427</v>
      </c>
      <c r="B45" s="114">
        <v>30881</v>
      </c>
      <c r="C45" s="121">
        <v>108442</v>
      </c>
      <c r="D45" s="121">
        <f t="shared" si="4"/>
        <v>139323</v>
      </c>
      <c r="E45" s="104"/>
    </row>
    <row r="46" spans="1:5" ht="12.4" customHeight="1">
      <c r="A46" s="2016" t="s">
        <v>490</v>
      </c>
      <c r="B46" s="2016"/>
      <c r="C46" s="1059" t="s">
        <v>455</v>
      </c>
      <c r="D46" s="1889" t="s">
        <v>297</v>
      </c>
      <c r="E46" s="1645"/>
    </row>
    <row r="47" spans="1:5" ht="12.4" customHeight="1">
      <c r="A47" s="2017"/>
      <c r="B47" s="2017"/>
      <c r="D47" s="2013"/>
      <c r="E47" s="1649"/>
    </row>
    <row r="48" spans="1:5" ht="14.25" customHeight="1">
      <c r="A48" s="2011"/>
      <c r="B48" s="2011"/>
      <c r="C48" s="1185" t="s">
        <v>456</v>
      </c>
      <c r="D48" s="2014" t="s">
        <v>296</v>
      </c>
      <c r="E48" s="1650"/>
    </row>
    <row r="49" spans="1:5" ht="13.5" customHeight="1">
      <c r="A49" s="2011"/>
      <c r="B49" s="2011"/>
      <c r="C49" s="71"/>
      <c r="D49" s="2015"/>
      <c r="E49" s="1651"/>
    </row>
    <row r="50" spans="1:5" ht="12.4" customHeight="1">
      <c r="D50" s="2013"/>
      <c r="E50" s="1649"/>
    </row>
  </sheetData>
  <mergeCells count="7">
    <mergeCell ref="A48:B49"/>
    <mergeCell ref="A1:D1"/>
    <mergeCell ref="A2:D2"/>
    <mergeCell ref="B11:D11"/>
    <mergeCell ref="D46:D47"/>
    <mergeCell ref="D48:D50"/>
    <mergeCell ref="A46:B47"/>
  </mergeCells>
  <phoneticPr fontId="0" type="noConversion"/>
  <printOptions horizontalCentered="1"/>
  <pageMargins left="0.74" right="0.1" top="0.56000000000000005" bottom="0.1" header="0.5" footer="0.1"/>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dimension ref="A1:F52"/>
  <sheetViews>
    <sheetView workbookViewId="0">
      <selection activeCell="C3" sqref="C3"/>
    </sheetView>
  </sheetViews>
  <sheetFormatPr defaultRowHeight="12.75"/>
  <cols>
    <col min="1" max="1" width="20.7109375" customWidth="1"/>
    <col min="2" max="2" width="14.7109375" customWidth="1"/>
    <col min="3" max="5" width="15.7109375" customWidth="1"/>
    <col min="6" max="6" width="5.5703125" customWidth="1"/>
  </cols>
  <sheetData>
    <row r="1" spans="1:6" ht="16.5" customHeight="1">
      <c r="A1" s="1987" t="s">
        <v>1096</v>
      </c>
      <c r="B1" s="1987"/>
      <c r="C1" s="1987"/>
      <c r="D1" s="1987"/>
      <c r="E1" s="1987"/>
      <c r="F1" s="1576"/>
    </row>
    <row r="2" spans="1:6" ht="36" customHeight="1">
      <c r="A2" s="2012" t="str">
        <f>CONCATENATE(" Births and Deaths in different Hospitals and Health Centres 
in the district of ",District!$A$1)</f>
        <v xml:space="preserve"> Births and Deaths in different Hospitals and Health Centres 
in the district of Purba Medinipur</v>
      </c>
      <c r="B2" s="2012"/>
      <c r="C2" s="2012"/>
      <c r="D2" s="2012"/>
      <c r="E2" s="2012"/>
      <c r="F2" s="1577"/>
    </row>
    <row r="3" spans="1:6">
      <c r="A3" s="461"/>
      <c r="B3" s="462"/>
      <c r="C3" s="463"/>
      <c r="D3" s="463"/>
      <c r="E3" s="464" t="s">
        <v>1001</v>
      </c>
      <c r="F3" s="1580"/>
    </row>
    <row r="4" spans="1:6">
      <c r="A4" s="2019" t="s">
        <v>899</v>
      </c>
      <c r="B4" s="2021" t="s">
        <v>1668</v>
      </c>
      <c r="C4" s="2023" t="s">
        <v>1180</v>
      </c>
      <c r="D4" s="2023"/>
      <c r="E4" s="2024"/>
      <c r="F4" s="1528"/>
    </row>
    <row r="5" spans="1:6" ht="13.5" customHeight="1">
      <c r="A5" s="2020"/>
      <c r="B5" s="2022"/>
      <c r="C5" s="614" t="s">
        <v>63</v>
      </c>
      <c r="D5" s="615" t="s">
        <v>64</v>
      </c>
      <c r="E5" s="1412" t="s">
        <v>979</v>
      </c>
      <c r="F5" s="1581"/>
    </row>
    <row r="6" spans="1:6">
      <c r="A6" s="616" t="s">
        <v>955</v>
      </c>
      <c r="B6" s="617" t="s">
        <v>956</v>
      </c>
      <c r="C6" s="618" t="s">
        <v>957</v>
      </c>
      <c r="D6" s="616" t="s">
        <v>958</v>
      </c>
      <c r="E6" s="617" t="s">
        <v>959</v>
      </c>
      <c r="F6" s="1582"/>
    </row>
    <row r="7" spans="1:6">
      <c r="A7" s="619">
        <v>2010</v>
      </c>
      <c r="B7" s="620">
        <v>127400</v>
      </c>
      <c r="C7" s="620">
        <v>631</v>
      </c>
      <c r="D7" s="620">
        <v>35583</v>
      </c>
      <c r="E7" s="620">
        <f>SUM(C7,D7)</f>
        <v>36214</v>
      </c>
      <c r="F7" s="1583"/>
    </row>
    <row r="8" spans="1:6">
      <c r="A8" s="619">
        <v>2011</v>
      </c>
      <c r="B8" s="620">
        <v>130882</v>
      </c>
      <c r="C8" s="620">
        <v>536</v>
      </c>
      <c r="D8" s="620">
        <v>33721</v>
      </c>
      <c r="E8" s="620">
        <f t="shared" ref="E8:E11" si="0">SUM(C8,D8)</f>
        <v>34257</v>
      </c>
      <c r="F8" s="1583"/>
    </row>
    <row r="9" spans="1:6">
      <c r="A9" s="619">
        <v>2012</v>
      </c>
      <c r="B9" s="620">
        <v>124935</v>
      </c>
      <c r="C9" s="620">
        <v>522</v>
      </c>
      <c r="D9" s="620">
        <v>29473</v>
      </c>
      <c r="E9" s="620">
        <f t="shared" si="0"/>
        <v>29995</v>
      </c>
      <c r="F9" s="1583"/>
    </row>
    <row r="10" spans="1:6">
      <c r="A10" s="619">
        <v>2013</v>
      </c>
      <c r="B10" s="620">
        <v>118741</v>
      </c>
      <c r="C10" s="620">
        <v>406</v>
      </c>
      <c r="D10" s="620">
        <v>15353</v>
      </c>
      <c r="E10" s="620">
        <f t="shared" si="0"/>
        <v>15759</v>
      </c>
      <c r="F10" s="1583"/>
    </row>
    <row r="11" spans="1:6">
      <c r="A11" s="782">
        <v>2014</v>
      </c>
      <c r="B11" s="783">
        <f>SUM(B14,B24,B31,B38)</f>
        <v>121882</v>
      </c>
      <c r="C11" s="783">
        <f>SUM(C14,C24,C31,C38)</f>
        <v>599</v>
      </c>
      <c r="D11" s="783">
        <f>SUM(D14,D24,D31,D38)</f>
        <v>15525</v>
      </c>
      <c r="E11" s="620">
        <f t="shared" si="0"/>
        <v>16124</v>
      </c>
      <c r="F11" s="1583"/>
    </row>
    <row r="12" spans="1:6">
      <c r="A12" s="1975" t="s">
        <v>162</v>
      </c>
      <c r="B12" s="2025" t="str">
        <f>"Year : " &amp; A11</f>
        <v>Year : 2014</v>
      </c>
      <c r="C12" s="2026"/>
      <c r="D12" s="2026"/>
      <c r="E12" s="2027"/>
      <c r="F12" s="1584"/>
    </row>
    <row r="13" spans="1:6">
      <c r="A13" s="1979"/>
      <c r="B13" s="2028"/>
      <c r="C13" s="2029"/>
      <c r="D13" s="2029"/>
      <c r="E13" s="2029"/>
      <c r="F13" s="1658"/>
    </row>
    <row r="14" spans="1:6" ht="15" customHeight="1">
      <c r="A14" s="621" t="s">
        <v>1273</v>
      </c>
      <c r="B14" s="622">
        <f>SUM(B15:B23)</f>
        <v>32043</v>
      </c>
      <c r="C14" s="622">
        <f>SUM(C15:C23)</f>
        <v>186</v>
      </c>
      <c r="D14" s="856">
        <f>SUM(D15:D23)</f>
        <v>4740</v>
      </c>
      <c r="E14" s="622">
        <f>SUM(E15:E23)</f>
        <v>4926</v>
      </c>
      <c r="F14" s="627"/>
    </row>
    <row r="15" spans="1:6" ht="15" customHeight="1">
      <c r="A15" s="611" t="s">
        <v>200</v>
      </c>
      <c r="B15" s="391">
        <v>1127</v>
      </c>
      <c r="C15" s="1574" t="s">
        <v>1384</v>
      </c>
      <c r="D15" s="407">
        <v>3</v>
      </c>
      <c r="E15" s="686">
        <v>3</v>
      </c>
      <c r="F15" s="1656"/>
    </row>
    <row r="16" spans="1:6" ht="15" customHeight="1">
      <c r="A16" s="611" t="s">
        <v>1386</v>
      </c>
      <c r="B16" s="391">
        <v>1205</v>
      </c>
      <c r="C16" s="445">
        <v>4</v>
      </c>
      <c r="D16" s="446">
        <v>545</v>
      </c>
      <c r="E16" s="686">
        <f t="shared" ref="E16:E21" si="1">C16+D16</f>
        <v>549</v>
      </c>
      <c r="F16" s="1585"/>
    </row>
    <row r="17" spans="1:6" ht="15" customHeight="1">
      <c r="A17" s="611" t="s">
        <v>1388</v>
      </c>
      <c r="B17" s="445">
        <v>2434</v>
      </c>
      <c r="C17" s="445">
        <v>38</v>
      </c>
      <c r="D17" s="446">
        <v>979</v>
      </c>
      <c r="E17" s="686">
        <f t="shared" si="1"/>
        <v>1017</v>
      </c>
      <c r="F17" s="1585"/>
    </row>
    <row r="18" spans="1:6" ht="15" customHeight="1">
      <c r="A18" s="165" t="s">
        <v>1385</v>
      </c>
      <c r="B18" s="445">
        <v>2175</v>
      </c>
      <c r="C18" s="624">
        <v>25</v>
      </c>
      <c r="D18" s="857">
        <v>968</v>
      </c>
      <c r="E18" s="686">
        <f t="shared" si="1"/>
        <v>993</v>
      </c>
      <c r="F18" s="1585"/>
    </row>
    <row r="19" spans="1:6" ht="15" customHeight="1">
      <c r="A19" s="611" t="s">
        <v>1390</v>
      </c>
      <c r="B19" s="623">
        <v>2755</v>
      </c>
      <c r="C19" s="120">
        <v>37</v>
      </c>
      <c r="D19" s="446">
        <v>789</v>
      </c>
      <c r="E19" s="686">
        <f t="shared" si="1"/>
        <v>826</v>
      </c>
      <c r="F19" s="1585"/>
    </row>
    <row r="20" spans="1:6" ht="15" customHeight="1">
      <c r="A20" s="611" t="s">
        <v>1391</v>
      </c>
      <c r="B20" s="445">
        <v>3490</v>
      </c>
      <c r="C20" s="120">
        <v>57</v>
      </c>
      <c r="D20" s="125">
        <v>880</v>
      </c>
      <c r="E20" s="686">
        <f t="shared" si="1"/>
        <v>937</v>
      </c>
      <c r="F20" s="1585"/>
    </row>
    <row r="21" spans="1:6" ht="15" customHeight="1">
      <c r="A21" s="604" t="s">
        <v>1569</v>
      </c>
      <c r="B21" s="445">
        <v>2455</v>
      </c>
      <c r="C21" s="104">
        <v>25</v>
      </c>
      <c r="D21" s="125">
        <v>576</v>
      </c>
      <c r="E21" s="686">
        <f t="shared" si="1"/>
        <v>601</v>
      </c>
      <c r="F21" s="1585"/>
    </row>
    <row r="22" spans="1:6" ht="15" customHeight="1">
      <c r="A22" s="611" t="s">
        <v>1383</v>
      </c>
      <c r="B22" s="445">
        <v>16402</v>
      </c>
      <c r="C22" s="460" t="s">
        <v>918</v>
      </c>
      <c r="D22" s="1625" t="s">
        <v>918</v>
      </c>
      <c r="E22" s="1587" t="s">
        <v>918</v>
      </c>
      <c r="F22" s="1585"/>
    </row>
    <row r="23" spans="1:6" ht="15" customHeight="1">
      <c r="A23" s="611" t="s">
        <v>1389</v>
      </c>
      <c r="B23" s="353" t="s">
        <v>918</v>
      </c>
      <c r="C23" s="353" t="s">
        <v>918</v>
      </c>
      <c r="D23" s="455" t="s">
        <v>918</v>
      </c>
      <c r="E23" s="1587" t="s">
        <v>918</v>
      </c>
      <c r="F23" s="1585"/>
    </row>
    <row r="24" spans="1:6" ht="15" customHeight="1">
      <c r="A24" s="625" t="s">
        <v>1274</v>
      </c>
      <c r="B24" s="439">
        <f>SUM(B25:B30)</f>
        <v>14979</v>
      </c>
      <c r="C24" s="439">
        <f>SUM(C25:C30)</f>
        <v>119</v>
      </c>
      <c r="D24" s="439">
        <f>SUM(D25:D30)</f>
        <v>2428</v>
      </c>
      <c r="E24" s="439">
        <f>SUM(E25:E30)</f>
        <v>2547</v>
      </c>
      <c r="F24" s="627"/>
    </row>
    <row r="25" spans="1:6" ht="15" customHeight="1">
      <c r="A25" s="611" t="s">
        <v>1393</v>
      </c>
      <c r="B25" s="445">
        <v>1942</v>
      </c>
      <c r="C25" s="104">
        <v>10</v>
      </c>
      <c r="D25" s="125">
        <v>546</v>
      </c>
      <c r="E25" s="465">
        <f>C25+D25</f>
        <v>556</v>
      </c>
      <c r="F25" s="1585"/>
    </row>
    <row r="26" spans="1:6" ht="15" customHeight="1">
      <c r="A26" s="611" t="s">
        <v>1395</v>
      </c>
      <c r="B26" s="445">
        <v>4028</v>
      </c>
      <c r="C26" s="104">
        <v>30</v>
      </c>
      <c r="D26" s="125">
        <v>649</v>
      </c>
      <c r="E26" s="465">
        <f t="shared" ref="E26:E29" si="2">C26+D26</f>
        <v>679</v>
      </c>
      <c r="F26" s="1585"/>
    </row>
    <row r="27" spans="1:6" ht="15" customHeight="1">
      <c r="A27" s="611" t="s">
        <v>1396</v>
      </c>
      <c r="B27" s="445">
        <v>2494</v>
      </c>
      <c r="C27" s="104">
        <v>25</v>
      </c>
      <c r="D27" s="125">
        <v>419</v>
      </c>
      <c r="E27" s="465">
        <f t="shared" si="2"/>
        <v>444</v>
      </c>
      <c r="F27" s="1585"/>
    </row>
    <row r="28" spans="1:6" ht="15" customHeight="1">
      <c r="A28" s="611" t="s">
        <v>1397</v>
      </c>
      <c r="B28" s="623">
        <v>794</v>
      </c>
      <c r="C28" s="624">
        <v>27</v>
      </c>
      <c r="D28" s="857">
        <v>399</v>
      </c>
      <c r="E28" s="465">
        <f t="shared" si="2"/>
        <v>426</v>
      </c>
      <c r="F28" s="1585"/>
    </row>
    <row r="29" spans="1:6" ht="15" customHeight="1">
      <c r="A29" s="626" t="s">
        <v>1399</v>
      </c>
      <c r="B29" s="445">
        <v>499</v>
      </c>
      <c r="C29" s="104">
        <v>27</v>
      </c>
      <c r="D29" s="125">
        <v>415</v>
      </c>
      <c r="E29" s="465">
        <f t="shared" si="2"/>
        <v>442</v>
      </c>
      <c r="F29" s="1585"/>
    </row>
    <row r="30" spans="1:6" ht="15" customHeight="1">
      <c r="A30" s="611" t="s">
        <v>1400</v>
      </c>
      <c r="B30" s="445">
        <v>5222</v>
      </c>
      <c r="C30" s="460" t="s">
        <v>918</v>
      </c>
      <c r="D30" s="455" t="s">
        <v>918</v>
      </c>
      <c r="E30" s="1587" t="s">
        <v>918</v>
      </c>
      <c r="F30" s="1585"/>
    </row>
    <row r="31" spans="1:6" ht="15" customHeight="1">
      <c r="A31" s="625" t="s">
        <v>844</v>
      </c>
      <c r="B31" s="439">
        <f>SUM(B32:B37)</f>
        <v>20143</v>
      </c>
      <c r="C31" s="439">
        <f>SUM(C32:C37)</f>
        <v>107</v>
      </c>
      <c r="D31" s="627">
        <f>SUM(D32:D37)</f>
        <v>3379</v>
      </c>
      <c r="E31" s="439">
        <f>SUM(E32:E37)</f>
        <v>3486</v>
      </c>
      <c r="F31" s="627"/>
    </row>
    <row r="32" spans="1:6" ht="15" customHeight="1">
      <c r="A32" s="611" t="s">
        <v>1269</v>
      </c>
      <c r="B32" s="623">
        <v>2093</v>
      </c>
      <c r="C32" s="623">
        <v>14</v>
      </c>
      <c r="D32" s="857">
        <v>682</v>
      </c>
      <c r="E32" s="465">
        <f>C32+D32</f>
        <v>696</v>
      </c>
      <c r="F32" s="1585"/>
    </row>
    <row r="33" spans="1:6" ht="15" customHeight="1">
      <c r="A33" s="611" t="s">
        <v>1270</v>
      </c>
      <c r="B33" s="445">
        <v>1102</v>
      </c>
      <c r="C33" s="445">
        <v>8</v>
      </c>
      <c r="D33" s="446">
        <v>511</v>
      </c>
      <c r="E33" s="465">
        <f t="shared" ref="E33:E36" si="3">C33+D33</f>
        <v>519</v>
      </c>
      <c r="F33" s="1585"/>
    </row>
    <row r="34" spans="1:6" ht="15" customHeight="1">
      <c r="A34" s="611" t="s">
        <v>1412</v>
      </c>
      <c r="B34" s="445">
        <v>3203</v>
      </c>
      <c r="C34" s="445">
        <v>8</v>
      </c>
      <c r="D34" s="446">
        <v>860</v>
      </c>
      <c r="E34" s="465">
        <f t="shared" si="3"/>
        <v>868</v>
      </c>
      <c r="F34" s="1585"/>
    </row>
    <row r="35" spans="1:6" ht="15" customHeight="1">
      <c r="A35" s="611" t="s">
        <v>1413</v>
      </c>
      <c r="B35" s="446">
        <v>1164</v>
      </c>
      <c r="C35" s="445">
        <v>45</v>
      </c>
      <c r="D35" s="454">
        <v>627</v>
      </c>
      <c r="E35" s="465">
        <f t="shared" si="3"/>
        <v>672</v>
      </c>
      <c r="F35" s="1585"/>
    </row>
    <row r="36" spans="1:6" ht="15" customHeight="1">
      <c r="A36" s="611" t="s">
        <v>1414</v>
      </c>
      <c r="B36" s="446">
        <v>1667</v>
      </c>
      <c r="C36" s="445">
        <v>32</v>
      </c>
      <c r="D36" s="454">
        <v>699</v>
      </c>
      <c r="E36" s="465">
        <f t="shared" si="3"/>
        <v>731</v>
      </c>
      <c r="F36" s="1585"/>
    </row>
    <row r="37" spans="1:6" ht="15" customHeight="1">
      <c r="A37" s="611" t="s">
        <v>156</v>
      </c>
      <c r="B37" s="407">
        <v>10914</v>
      </c>
      <c r="C37" s="145" t="s">
        <v>918</v>
      </c>
      <c r="D37" s="36" t="s">
        <v>918</v>
      </c>
      <c r="E37" s="1587" t="s">
        <v>918</v>
      </c>
      <c r="F37" s="1585"/>
    </row>
    <row r="38" spans="1:6" ht="15" customHeight="1">
      <c r="A38" s="625" t="s">
        <v>1275</v>
      </c>
      <c r="B38" s="627">
        <f>SUM(B39:B48)</f>
        <v>54717</v>
      </c>
      <c r="C38" s="439">
        <f>SUM(C39:C48)</f>
        <v>187</v>
      </c>
      <c r="D38" s="582">
        <f>SUM(D39:D48)</f>
        <v>4978</v>
      </c>
      <c r="E38" s="627">
        <f>SUM(E39:E48)</f>
        <v>5165</v>
      </c>
      <c r="F38" s="627"/>
    </row>
    <row r="39" spans="1:6" ht="15" customHeight="1">
      <c r="A39" s="611" t="s">
        <v>1419</v>
      </c>
      <c r="B39" s="117">
        <v>1671</v>
      </c>
      <c r="C39" s="628">
        <v>18</v>
      </c>
      <c r="D39" s="459">
        <v>546</v>
      </c>
      <c r="E39" s="465">
        <f>C39+D39</f>
        <v>564</v>
      </c>
      <c r="F39" s="1585"/>
    </row>
    <row r="40" spans="1:6" ht="15" customHeight="1">
      <c r="A40" s="611" t="s">
        <v>1420</v>
      </c>
      <c r="B40" s="117">
        <v>3496</v>
      </c>
      <c r="C40" s="628">
        <v>45</v>
      </c>
      <c r="D40" s="459">
        <v>561</v>
      </c>
      <c r="E40" s="465">
        <f t="shared" ref="E40:E46" si="4">C40+D40</f>
        <v>606</v>
      </c>
      <c r="F40" s="1585"/>
    </row>
    <row r="41" spans="1:6" ht="15" customHeight="1">
      <c r="A41" s="611" t="s">
        <v>1422</v>
      </c>
      <c r="B41" s="117">
        <v>3931</v>
      </c>
      <c r="C41" s="628">
        <v>13</v>
      </c>
      <c r="D41" s="459">
        <v>707</v>
      </c>
      <c r="E41" s="465">
        <f t="shared" si="4"/>
        <v>720</v>
      </c>
      <c r="F41" s="1585"/>
    </row>
    <row r="42" spans="1:6" ht="15" customHeight="1">
      <c r="A42" s="611" t="s">
        <v>1423</v>
      </c>
      <c r="B42" s="117">
        <v>2568</v>
      </c>
      <c r="C42" s="628">
        <v>39</v>
      </c>
      <c r="D42" s="459">
        <v>476</v>
      </c>
      <c r="E42" s="465">
        <f t="shared" si="4"/>
        <v>515</v>
      </c>
      <c r="F42" s="1585"/>
    </row>
    <row r="43" spans="1:6" ht="15" customHeight="1">
      <c r="A43" s="611" t="s">
        <v>1425</v>
      </c>
      <c r="B43" s="117">
        <v>1480</v>
      </c>
      <c r="C43" s="628">
        <v>20</v>
      </c>
      <c r="D43" s="459">
        <v>567</v>
      </c>
      <c r="E43" s="465">
        <f t="shared" si="4"/>
        <v>587</v>
      </c>
      <c r="F43" s="1585"/>
    </row>
    <row r="44" spans="1:6" ht="15" customHeight="1">
      <c r="A44" s="611" t="s">
        <v>1426</v>
      </c>
      <c r="B44" s="117">
        <v>1292</v>
      </c>
      <c r="C44" s="628">
        <v>32</v>
      </c>
      <c r="D44" s="459">
        <v>790</v>
      </c>
      <c r="E44" s="465">
        <f t="shared" si="4"/>
        <v>822</v>
      </c>
      <c r="F44" s="1585"/>
    </row>
    <row r="45" spans="1:6" ht="15" customHeight="1">
      <c r="A45" s="604" t="s">
        <v>263</v>
      </c>
      <c r="B45" s="117">
        <v>2287</v>
      </c>
      <c r="C45" s="628">
        <v>6</v>
      </c>
      <c r="D45" s="459">
        <v>650</v>
      </c>
      <c r="E45" s="465">
        <f t="shared" si="4"/>
        <v>656</v>
      </c>
      <c r="F45" s="1585"/>
    </row>
    <row r="46" spans="1:6" ht="15" customHeight="1">
      <c r="A46" s="611" t="s">
        <v>1429</v>
      </c>
      <c r="B46" s="117">
        <v>1209</v>
      </c>
      <c r="C46" s="628">
        <v>14</v>
      </c>
      <c r="D46" s="459">
        <v>681</v>
      </c>
      <c r="E46" s="465">
        <f t="shared" si="4"/>
        <v>695</v>
      </c>
      <c r="F46" s="1585"/>
    </row>
    <row r="47" spans="1:6" ht="15" customHeight="1">
      <c r="A47" s="611" t="s">
        <v>1427</v>
      </c>
      <c r="B47" s="1575">
        <v>13105</v>
      </c>
      <c r="C47" s="1206" t="s">
        <v>918</v>
      </c>
      <c r="D47" s="1396" t="s">
        <v>918</v>
      </c>
      <c r="E47" s="1587" t="s">
        <v>918</v>
      </c>
      <c r="F47" s="1585"/>
    </row>
    <row r="48" spans="1:6" ht="15" customHeight="1">
      <c r="A48" s="1578" t="s">
        <v>1669</v>
      </c>
      <c r="B48" s="111">
        <v>23678</v>
      </c>
      <c r="C48" s="587" t="s">
        <v>918</v>
      </c>
      <c r="D48" s="44" t="s">
        <v>918</v>
      </c>
      <c r="E48" s="1587" t="s">
        <v>918</v>
      </c>
      <c r="F48" s="1585"/>
    </row>
    <row r="49" spans="1:6">
      <c r="A49" s="1413" t="s">
        <v>309</v>
      </c>
      <c r="B49" s="1117"/>
      <c r="C49" s="2018" t="s">
        <v>1024</v>
      </c>
      <c r="D49" s="2018"/>
      <c r="E49" s="2018"/>
      <c r="F49" s="1586"/>
    </row>
    <row r="50" spans="1:6">
      <c r="A50" s="1186"/>
      <c r="B50" s="1117"/>
      <c r="C50" s="1041"/>
      <c r="D50" s="1041"/>
      <c r="E50" s="1041"/>
      <c r="F50" s="1041"/>
    </row>
    <row r="51" spans="1:6" hidden="1">
      <c r="A51" s="1186"/>
      <c r="B51" s="1117"/>
      <c r="C51" s="1041"/>
      <c r="D51" s="1041"/>
      <c r="E51" s="1041"/>
      <c r="F51" s="1041"/>
    </row>
    <row r="52" spans="1:6">
      <c r="B52" s="1041"/>
      <c r="C52" s="1041"/>
      <c r="D52" s="1041"/>
      <c r="E52" s="1041"/>
      <c r="F52" s="1041"/>
    </row>
  </sheetData>
  <mergeCells count="8">
    <mergeCell ref="C49:E49"/>
    <mergeCell ref="A1:E1"/>
    <mergeCell ref="A2:E2"/>
    <mergeCell ref="A4:A5"/>
    <mergeCell ref="B4:B5"/>
    <mergeCell ref="C4:E4"/>
    <mergeCell ref="A12:A13"/>
    <mergeCell ref="B12:E13"/>
  </mergeCells>
  <phoneticPr fontId="0" type="noConversion"/>
  <printOptions horizontalCentered="1"/>
  <pageMargins left="1.1000000000000001" right="0.1" top="0.61" bottom="0.1" header="0.5" footer="0.1"/>
  <pageSetup paperSize="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sheetPr codeName="Sheet26"/>
  <dimension ref="A1:K44"/>
  <sheetViews>
    <sheetView topLeftCell="A13" workbookViewId="0">
      <selection activeCell="I29" sqref="I29"/>
    </sheetView>
  </sheetViews>
  <sheetFormatPr defaultRowHeight="12.75"/>
  <cols>
    <col min="1" max="1" width="2.28515625" customWidth="1"/>
    <col min="2" max="2" width="2.85546875" customWidth="1"/>
    <col min="3" max="3" width="1.140625" customWidth="1"/>
    <col min="4" max="4" width="49.5703125" customWidth="1"/>
    <col min="5" max="9" width="14.7109375" customWidth="1"/>
  </cols>
  <sheetData>
    <row r="1" spans="1:9" ht="12.75" customHeight="1">
      <c r="A1" s="1893" t="s">
        <v>789</v>
      </c>
      <c r="B1" s="1893"/>
      <c r="C1" s="1893"/>
      <c r="D1" s="1893"/>
      <c r="E1" s="1893"/>
      <c r="F1" s="1893"/>
      <c r="G1" s="1893"/>
      <c r="H1" s="1893"/>
      <c r="I1" s="1893"/>
    </row>
    <row r="2" spans="1:9" ht="14.25" customHeight="1">
      <c r="A2" s="1894" t="str">
        <f>CONCATENATE(" General Educational Institutions by type in the district of ",District!A1)</f>
        <v xml:space="preserve"> General Educational Institutions by type in the district of Purba Medinipur</v>
      </c>
      <c r="B2" s="1894"/>
      <c r="C2" s="1894"/>
      <c r="D2" s="1894"/>
      <c r="E2" s="1894"/>
      <c r="F2" s="1894"/>
      <c r="G2" s="1894"/>
      <c r="H2" s="1894"/>
      <c r="I2" s="1894"/>
    </row>
    <row r="3" spans="1:9" ht="13.5" customHeight="1">
      <c r="A3" s="7"/>
      <c r="B3" s="7"/>
      <c r="C3" s="7"/>
      <c r="D3" s="7"/>
      <c r="E3" s="346"/>
      <c r="F3" s="346"/>
      <c r="G3" s="346"/>
      <c r="H3" s="346"/>
      <c r="I3" s="485" t="s">
        <v>1001</v>
      </c>
    </row>
    <row r="4" spans="1:9" ht="15" customHeight="1">
      <c r="A4" s="1866" t="s">
        <v>436</v>
      </c>
      <c r="B4" s="2046"/>
      <c r="C4" s="2046"/>
      <c r="D4" s="1906"/>
      <c r="E4" s="2048" t="s">
        <v>899</v>
      </c>
      <c r="F4" s="2049"/>
      <c r="G4" s="2049"/>
      <c r="H4" s="2049"/>
      <c r="I4" s="2050"/>
    </row>
    <row r="5" spans="1:9" ht="13.5" customHeight="1">
      <c r="A5" s="1860"/>
      <c r="B5" s="2047"/>
      <c r="C5" s="2047"/>
      <c r="D5" s="1907"/>
      <c r="E5" s="234" t="s">
        <v>1688</v>
      </c>
      <c r="F5" s="456" t="s">
        <v>1047</v>
      </c>
      <c r="G5" s="1732" t="s">
        <v>1357</v>
      </c>
      <c r="H5" s="1732" t="s">
        <v>1689</v>
      </c>
      <c r="I5" s="1590" t="s">
        <v>1639</v>
      </c>
    </row>
    <row r="6" spans="1:9" ht="13.5" customHeight="1">
      <c r="A6" s="2043" t="s">
        <v>955</v>
      </c>
      <c r="B6" s="2044"/>
      <c r="C6" s="2044"/>
      <c r="D6" s="2045"/>
      <c r="E6" s="1738" t="s">
        <v>956</v>
      </c>
      <c r="F6" s="1739" t="s">
        <v>957</v>
      </c>
      <c r="G6" s="1738" t="s">
        <v>958</v>
      </c>
      <c r="H6" s="1739" t="s">
        <v>959</v>
      </c>
      <c r="I6" s="1740" t="s">
        <v>961</v>
      </c>
    </row>
    <row r="7" spans="1:9" ht="14.25" customHeight="1">
      <c r="A7" s="745" t="s">
        <v>1489</v>
      </c>
      <c r="B7" s="2033" t="s">
        <v>832</v>
      </c>
      <c r="C7" s="2034"/>
      <c r="D7" s="2035"/>
      <c r="E7" s="388">
        <f>SUM(E8,E13,E18,E23)</f>
        <v>3924</v>
      </c>
      <c r="F7" s="388">
        <f>SUM(F8,F13,F18,F23)</f>
        <v>3938</v>
      </c>
      <c r="G7" s="253">
        <f>SUM(G8,G13,G18,G23)</f>
        <v>3938</v>
      </c>
      <c r="H7" s="253">
        <f>SUM(H8,H13,H18,H23)</f>
        <v>4192</v>
      </c>
      <c r="I7" s="253">
        <f>SUM(I8,I13,I18,I23)</f>
        <v>4204</v>
      </c>
    </row>
    <row r="8" spans="1:9" ht="25.5" customHeight="1">
      <c r="A8" s="34"/>
      <c r="B8" s="862" t="s">
        <v>1313</v>
      </c>
      <c r="C8" s="2041" t="s">
        <v>1189</v>
      </c>
      <c r="D8" s="2042"/>
      <c r="E8" s="352">
        <f>SUM(E9:E12)</f>
        <v>3253</v>
      </c>
      <c r="F8" s="310">
        <f>SUM(F9:F12)</f>
        <v>3253</v>
      </c>
      <c r="G8" s="310">
        <f>SUM(G9:G12)</f>
        <v>3253</v>
      </c>
      <c r="H8" s="310">
        <f>SUM(H9:H12)</f>
        <v>3253</v>
      </c>
      <c r="I8" s="310">
        <f>SUM(I9:I12)</f>
        <v>3253</v>
      </c>
    </row>
    <row r="9" spans="1:9" ht="12.75" customHeight="1">
      <c r="A9" s="34"/>
      <c r="B9" s="34"/>
      <c r="C9" s="7"/>
      <c r="D9" s="224" t="s">
        <v>1309</v>
      </c>
      <c r="E9" s="86">
        <v>3253</v>
      </c>
      <c r="F9" s="1603">
        <v>3253</v>
      </c>
      <c r="G9" s="86">
        <v>3253</v>
      </c>
      <c r="H9" s="86">
        <v>3253</v>
      </c>
      <c r="I9" s="86">
        <v>3253</v>
      </c>
    </row>
    <row r="10" spans="1:9" ht="12.75" customHeight="1">
      <c r="A10" s="34"/>
      <c r="B10" s="34"/>
      <c r="C10" s="7"/>
      <c r="D10" s="224" t="s">
        <v>1310</v>
      </c>
      <c r="E10" s="809" t="s">
        <v>1384</v>
      </c>
      <c r="F10" s="146" t="s">
        <v>1384</v>
      </c>
      <c r="G10" s="146" t="s">
        <v>1384</v>
      </c>
      <c r="H10" s="146" t="s">
        <v>1384</v>
      </c>
      <c r="I10" s="146" t="s">
        <v>1384</v>
      </c>
    </row>
    <row r="11" spans="1:9" ht="12.75" customHeight="1">
      <c r="A11" s="34"/>
      <c r="B11" s="34"/>
      <c r="C11" s="7"/>
      <c r="D11" s="224" t="s">
        <v>1319</v>
      </c>
      <c r="E11" s="809" t="s">
        <v>1384</v>
      </c>
      <c r="F11" s="146" t="s">
        <v>1384</v>
      </c>
      <c r="G11" s="146" t="s">
        <v>1384</v>
      </c>
      <c r="H11" s="146" t="s">
        <v>1384</v>
      </c>
      <c r="I11" s="146" t="s">
        <v>1384</v>
      </c>
    </row>
    <row r="12" spans="1:9" ht="12.75" customHeight="1">
      <c r="A12" s="34"/>
      <c r="B12" s="34"/>
      <c r="C12" s="7"/>
      <c r="D12" s="224" t="s">
        <v>1037</v>
      </c>
      <c r="E12" s="809" t="s">
        <v>1384</v>
      </c>
      <c r="F12" s="146" t="s">
        <v>1384</v>
      </c>
      <c r="G12" s="146" t="s">
        <v>1384</v>
      </c>
      <c r="H12" s="146" t="s">
        <v>1384</v>
      </c>
      <c r="I12" s="146" t="s">
        <v>1384</v>
      </c>
    </row>
    <row r="13" spans="1:9" ht="25.5" customHeight="1">
      <c r="A13" s="34"/>
      <c r="B13" s="862" t="s">
        <v>1311</v>
      </c>
      <c r="C13" s="2039" t="s">
        <v>1190</v>
      </c>
      <c r="D13" s="2040"/>
      <c r="E13" s="352">
        <f>SUM(E14:E17)</f>
        <v>62</v>
      </c>
      <c r="F13" s="310">
        <f>SUM(F14:F17)</f>
        <v>55</v>
      </c>
      <c r="G13" s="310">
        <f>SUM(G14:G17)</f>
        <v>55</v>
      </c>
      <c r="H13" s="310">
        <f>SUM(H14:H17)</f>
        <v>297</v>
      </c>
      <c r="I13" s="310">
        <f>SUM(I14:I17)</f>
        <v>293</v>
      </c>
    </row>
    <row r="14" spans="1:9" ht="12.75" customHeight="1">
      <c r="A14" s="34"/>
      <c r="B14" s="34"/>
      <c r="C14" s="7"/>
      <c r="D14" s="224" t="s">
        <v>1685</v>
      </c>
      <c r="E14" s="86">
        <v>62</v>
      </c>
      <c r="F14" s="1603">
        <v>55</v>
      </c>
      <c r="G14" s="86">
        <v>55</v>
      </c>
      <c r="H14" s="86">
        <v>294</v>
      </c>
      <c r="I14" s="86">
        <v>290</v>
      </c>
    </row>
    <row r="15" spans="1:9" ht="12.75" customHeight="1">
      <c r="A15" s="34"/>
      <c r="B15" s="34"/>
      <c r="C15" s="7"/>
      <c r="D15" s="224" t="s">
        <v>1454</v>
      </c>
      <c r="E15" s="749" t="s">
        <v>1384</v>
      </c>
      <c r="F15" s="98" t="s">
        <v>1384</v>
      </c>
      <c r="G15" s="749" t="s">
        <v>1384</v>
      </c>
      <c r="H15" s="749">
        <v>3</v>
      </c>
      <c r="I15" s="749">
        <v>3</v>
      </c>
    </row>
    <row r="16" spans="1:9" ht="12.75" customHeight="1">
      <c r="A16" s="34"/>
      <c r="B16" s="34"/>
      <c r="C16" s="7"/>
      <c r="D16" s="224" t="s">
        <v>1319</v>
      </c>
      <c r="E16" s="810" t="s">
        <v>1384</v>
      </c>
      <c r="F16" s="101" t="s">
        <v>1384</v>
      </c>
      <c r="G16" s="122" t="s">
        <v>1384</v>
      </c>
      <c r="H16" s="122" t="s">
        <v>1384</v>
      </c>
      <c r="I16" s="122" t="s">
        <v>1384</v>
      </c>
    </row>
    <row r="17" spans="1:9" ht="12.75" customHeight="1">
      <c r="A17" s="34"/>
      <c r="B17" s="34"/>
      <c r="C17" s="7"/>
      <c r="D17" s="224" t="s">
        <v>1037</v>
      </c>
      <c r="E17" s="810" t="s">
        <v>1384</v>
      </c>
      <c r="F17" s="101" t="s">
        <v>1384</v>
      </c>
      <c r="G17" s="122" t="s">
        <v>1384</v>
      </c>
      <c r="H17" s="122" t="s">
        <v>1384</v>
      </c>
      <c r="I17" s="122" t="s">
        <v>1384</v>
      </c>
    </row>
    <row r="18" spans="1:9" ht="25.5" customHeight="1">
      <c r="A18" s="34"/>
      <c r="B18" s="862" t="s">
        <v>1312</v>
      </c>
      <c r="C18" s="2041" t="s">
        <v>1191</v>
      </c>
      <c r="D18" s="2042"/>
      <c r="E18" s="352">
        <f>SUM(E19:E22)</f>
        <v>347</v>
      </c>
      <c r="F18" s="310">
        <f>SUM(F19:F22)</f>
        <v>316</v>
      </c>
      <c r="G18" s="310">
        <f>SUM(G19:G22)</f>
        <v>316</v>
      </c>
      <c r="H18" s="310">
        <f>SUM(H19:H22)</f>
        <v>278</v>
      </c>
      <c r="I18" s="310">
        <f>SUM(I19:I22)</f>
        <v>261</v>
      </c>
    </row>
    <row r="19" spans="1:9" ht="12.75" customHeight="1">
      <c r="A19" s="34"/>
      <c r="B19" s="34"/>
      <c r="C19" s="7"/>
      <c r="D19" s="224" t="s">
        <v>1685</v>
      </c>
      <c r="E19" s="86">
        <v>333</v>
      </c>
      <c r="F19" s="1603">
        <v>306</v>
      </c>
      <c r="G19" s="86">
        <v>306</v>
      </c>
      <c r="H19" s="86">
        <v>268</v>
      </c>
      <c r="I19" s="86">
        <v>251</v>
      </c>
    </row>
    <row r="20" spans="1:9" ht="12.75" customHeight="1">
      <c r="A20" s="34"/>
      <c r="B20" s="34"/>
      <c r="C20" s="7"/>
      <c r="D20" s="224" t="s">
        <v>1455</v>
      </c>
      <c r="E20" s="86">
        <v>12</v>
      </c>
      <c r="F20" s="1603">
        <v>8</v>
      </c>
      <c r="G20" s="86">
        <v>8</v>
      </c>
      <c r="H20" s="86">
        <v>8</v>
      </c>
      <c r="I20" s="86">
        <v>8</v>
      </c>
    </row>
    <row r="21" spans="1:9" ht="12.75" customHeight="1">
      <c r="A21" s="34"/>
      <c r="B21" s="34"/>
      <c r="C21" s="7"/>
      <c r="D21" s="224" t="s">
        <v>1319</v>
      </c>
      <c r="E21" s="86">
        <v>2</v>
      </c>
      <c r="F21" s="1603">
        <v>2</v>
      </c>
      <c r="G21" s="86">
        <v>2</v>
      </c>
      <c r="H21" s="86">
        <v>2</v>
      </c>
      <c r="I21" s="86">
        <v>2</v>
      </c>
    </row>
    <row r="22" spans="1:9" ht="12.75" customHeight="1">
      <c r="A22" s="34"/>
      <c r="B22" s="34"/>
      <c r="C22" s="7"/>
      <c r="D22" s="224" t="s">
        <v>1037</v>
      </c>
      <c r="E22" s="810" t="s">
        <v>1384</v>
      </c>
      <c r="F22" s="101" t="s">
        <v>1384</v>
      </c>
      <c r="G22" s="122" t="s">
        <v>1384</v>
      </c>
      <c r="H22" s="122" t="s">
        <v>1384</v>
      </c>
      <c r="I22" s="122" t="s">
        <v>1384</v>
      </c>
    </row>
    <row r="23" spans="1:9" ht="25.5" customHeight="1">
      <c r="A23" s="34"/>
      <c r="B23" s="862" t="s">
        <v>1314</v>
      </c>
      <c r="C23" s="2041" t="s">
        <v>1192</v>
      </c>
      <c r="D23" s="2042"/>
      <c r="E23" s="352">
        <f>SUM(E24:E28)</f>
        <v>262</v>
      </c>
      <c r="F23" s="310">
        <f>SUM(F24:F28)</f>
        <v>314</v>
      </c>
      <c r="G23" s="310">
        <f>SUM(G24:G28)</f>
        <v>314</v>
      </c>
      <c r="H23" s="310">
        <f>SUM(H24:H28)</f>
        <v>364</v>
      </c>
      <c r="I23" s="310">
        <f>SUM(I24:I28)</f>
        <v>397</v>
      </c>
    </row>
    <row r="24" spans="1:9" ht="12.75" customHeight="1">
      <c r="A24" s="34"/>
      <c r="B24" s="34"/>
      <c r="C24" s="7"/>
      <c r="D24" s="224" t="s">
        <v>1686</v>
      </c>
      <c r="E24" s="86">
        <v>257</v>
      </c>
      <c r="F24" s="1603">
        <v>309</v>
      </c>
      <c r="G24" s="86">
        <v>309</v>
      </c>
      <c r="H24" s="86">
        <v>359</v>
      </c>
      <c r="I24" s="86">
        <v>392</v>
      </c>
    </row>
    <row r="25" spans="1:9" ht="12.75" customHeight="1">
      <c r="A25" s="34"/>
      <c r="B25" s="34"/>
      <c r="C25" s="7"/>
      <c r="D25" s="224" t="s">
        <v>1507</v>
      </c>
      <c r="E25" s="86">
        <v>1</v>
      </c>
      <c r="F25" s="1603">
        <v>1</v>
      </c>
      <c r="G25" s="86">
        <v>1</v>
      </c>
      <c r="H25" s="86">
        <v>1</v>
      </c>
      <c r="I25" s="86">
        <v>1</v>
      </c>
    </row>
    <row r="26" spans="1:9" ht="12.75" customHeight="1">
      <c r="A26" s="34"/>
      <c r="B26" s="34"/>
      <c r="C26" s="7"/>
      <c r="D26" s="224" t="s">
        <v>1319</v>
      </c>
      <c r="E26" s="86">
        <v>2</v>
      </c>
      <c r="F26" s="1603">
        <v>2</v>
      </c>
      <c r="G26" s="86">
        <v>2</v>
      </c>
      <c r="H26" s="86">
        <v>2</v>
      </c>
      <c r="I26" s="86">
        <v>2</v>
      </c>
    </row>
    <row r="27" spans="1:9" ht="12.75" customHeight="1">
      <c r="A27" s="34"/>
      <c r="B27" s="34"/>
      <c r="C27" s="7"/>
      <c r="D27" s="224" t="s">
        <v>1037</v>
      </c>
      <c r="E27" s="1206" t="s">
        <v>1384</v>
      </c>
      <c r="F27" s="750" t="s">
        <v>1384</v>
      </c>
      <c r="G27" s="750" t="s">
        <v>1384</v>
      </c>
      <c r="H27" s="750" t="s">
        <v>1384</v>
      </c>
      <c r="I27" s="750" t="s">
        <v>1384</v>
      </c>
    </row>
    <row r="28" spans="1:9" ht="12.75" customHeight="1">
      <c r="A28" s="34"/>
      <c r="B28" s="34"/>
      <c r="C28" s="7"/>
      <c r="D28" s="224" t="s">
        <v>1456</v>
      </c>
      <c r="E28" s="86">
        <v>2</v>
      </c>
      <c r="F28" s="1603">
        <v>2</v>
      </c>
      <c r="G28" s="86">
        <v>2</v>
      </c>
      <c r="H28" s="86">
        <v>2</v>
      </c>
      <c r="I28" s="86">
        <v>2</v>
      </c>
    </row>
    <row r="29" spans="1:9" ht="15" customHeight="1">
      <c r="A29" s="746" t="s">
        <v>1490</v>
      </c>
      <c r="B29" s="863" t="s">
        <v>833</v>
      </c>
      <c r="C29" s="60"/>
      <c r="D29" s="141"/>
      <c r="E29" s="389">
        <v>15</v>
      </c>
      <c r="F29" s="307">
        <v>18</v>
      </c>
      <c r="G29" s="307">
        <v>18</v>
      </c>
      <c r="H29" s="307">
        <v>18</v>
      </c>
      <c r="I29" s="307">
        <v>19</v>
      </c>
    </row>
    <row r="30" spans="1:9" ht="28.5" customHeight="1">
      <c r="A30" s="747" t="s">
        <v>1491</v>
      </c>
      <c r="B30" s="2030" t="s">
        <v>1509</v>
      </c>
      <c r="C30" s="2031"/>
      <c r="D30" s="2032"/>
      <c r="E30" s="811" t="s">
        <v>1384</v>
      </c>
      <c r="F30" s="583" t="s">
        <v>1384</v>
      </c>
      <c r="G30" s="145" t="s">
        <v>1384</v>
      </c>
      <c r="H30" s="145" t="s">
        <v>1384</v>
      </c>
      <c r="I30" s="145" t="s">
        <v>1384</v>
      </c>
    </row>
    <row r="31" spans="1:9" ht="12.75" customHeight="1">
      <c r="A31" s="748" t="s">
        <v>1492</v>
      </c>
      <c r="B31" s="2036" t="s">
        <v>159</v>
      </c>
      <c r="C31" s="2037"/>
      <c r="D31" s="2038"/>
      <c r="E31" s="390">
        <v>6</v>
      </c>
      <c r="F31" s="309">
        <v>6</v>
      </c>
      <c r="G31" s="309">
        <v>6</v>
      </c>
      <c r="H31" s="309">
        <v>6</v>
      </c>
      <c r="I31" s="309">
        <v>6</v>
      </c>
    </row>
    <row r="32" spans="1:9" ht="12" customHeight="1">
      <c r="A32" s="71" t="s">
        <v>1687</v>
      </c>
      <c r="B32" s="71"/>
      <c r="C32" s="62"/>
      <c r="D32" s="62"/>
      <c r="F32" s="1059" t="s">
        <v>1525</v>
      </c>
      <c r="G32" s="1060" t="s">
        <v>1059</v>
      </c>
      <c r="H32" s="566"/>
      <c r="I32" s="566"/>
    </row>
    <row r="33" spans="1:11" ht="12" customHeight="1">
      <c r="A33" s="62"/>
      <c r="B33" s="62"/>
      <c r="C33" s="62"/>
      <c r="D33" s="62"/>
      <c r="F33" s="1060"/>
      <c r="G33" s="1060" t="s">
        <v>1060</v>
      </c>
      <c r="H33" s="566"/>
      <c r="I33" s="566"/>
    </row>
    <row r="34" spans="1:11" ht="12.75" customHeight="1">
      <c r="A34" s="62"/>
      <c r="B34" s="62"/>
      <c r="C34" s="62"/>
      <c r="D34" s="62"/>
      <c r="F34" s="1060"/>
      <c r="G34" s="1135" t="s">
        <v>1057</v>
      </c>
      <c r="H34" s="724"/>
      <c r="I34" s="724"/>
    </row>
    <row r="35" spans="1:11" ht="12" customHeight="1">
      <c r="A35" s="62"/>
      <c r="B35" s="62"/>
      <c r="C35" s="62"/>
      <c r="D35" s="62"/>
      <c r="F35" s="1060"/>
      <c r="G35" s="1061" t="s">
        <v>1058</v>
      </c>
      <c r="H35" s="629"/>
      <c r="I35" s="629"/>
    </row>
    <row r="36" spans="1:11" ht="12" customHeight="1">
      <c r="A36" s="62"/>
      <c r="B36" s="62"/>
      <c r="C36" s="62"/>
      <c r="D36" s="62"/>
      <c r="F36" s="1136"/>
      <c r="G36" s="1060" t="s">
        <v>1342</v>
      </c>
      <c r="H36" s="566"/>
      <c r="I36" s="566"/>
    </row>
    <row r="37" spans="1:11" ht="12" customHeight="1">
      <c r="A37" s="62"/>
      <c r="B37" s="62"/>
      <c r="C37" s="62"/>
      <c r="D37" s="62"/>
      <c r="F37" s="1136"/>
      <c r="G37" s="1060" t="s">
        <v>452</v>
      </c>
      <c r="H37" s="566"/>
      <c r="I37" s="566"/>
    </row>
    <row r="38" spans="1:11" ht="12" customHeight="1">
      <c r="A38" s="62"/>
      <c r="B38" s="62"/>
      <c r="C38" s="62"/>
      <c r="D38" s="62"/>
      <c r="F38" s="1136"/>
      <c r="G38" s="1060" t="s">
        <v>1228</v>
      </c>
      <c r="H38" s="566"/>
      <c r="I38" s="566"/>
    </row>
    <row r="39" spans="1:11">
      <c r="A39" s="79"/>
      <c r="B39" s="79"/>
      <c r="C39" s="79"/>
      <c r="D39" s="79"/>
      <c r="E39" s="79"/>
      <c r="F39" s="79"/>
      <c r="G39" s="79"/>
      <c r="H39" s="79"/>
      <c r="I39" s="79"/>
      <c r="J39" s="79"/>
      <c r="K39" s="79"/>
    </row>
    <row r="40" spans="1:11">
      <c r="A40" s="62"/>
      <c r="B40" s="62"/>
      <c r="C40" s="62"/>
      <c r="D40" s="62"/>
      <c r="E40" s="62"/>
      <c r="F40" s="62"/>
      <c r="G40" s="62"/>
      <c r="H40" s="62"/>
      <c r="I40" s="62"/>
    </row>
    <row r="41" spans="1:11">
      <c r="A41" s="62"/>
      <c r="B41" s="62"/>
      <c r="C41" s="62"/>
      <c r="D41" s="62"/>
      <c r="E41" s="62"/>
      <c r="F41" s="62"/>
      <c r="G41" s="62"/>
      <c r="H41" s="62"/>
      <c r="I41" s="62"/>
    </row>
    <row r="42" spans="1:11">
      <c r="A42" s="62"/>
      <c r="B42" s="62"/>
      <c r="C42" s="62"/>
      <c r="D42" s="62"/>
      <c r="E42" s="62"/>
      <c r="F42" s="62"/>
      <c r="G42" s="62"/>
      <c r="H42" s="62"/>
      <c r="I42" s="62"/>
    </row>
    <row r="43" spans="1:11">
      <c r="A43" s="62"/>
      <c r="B43" s="62"/>
      <c r="C43" s="62"/>
      <c r="D43" s="62"/>
      <c r="E43" s="62"/>
      <c r="F43" s="62"/>
      <c r="G43" s="62"/>
      <c r="H43" s="62"/>
      <c r="I43" s="62"/>
    </row>
    <row r="44" spans="1:11">
      <c r="A44" s="62"/>
      <c r="B44" s="62"/>
      <c r="C44" s="62"/>
      <c r="D44" s="62"/>
      <c r="E44" s="62"/>
      <c r="F44" s="62"/>
      <c r="G44" s="62"/>
      <c r="H44" s="62"/>
      <c r="I44" s="62"/>
    </row>
  </sheetData>
  <mergeCells count="12">
    <mergeCell ref="B30:D30"/>
    <mergeCell ref="B7:D7"/>
    <mergeCell ref="B31:D31"/>
    <mergeCell ref="A2:I2"/>
    <mergeCell ref="A1:I1"/>
    <mergeCell ref="C13:D13"/>
    <mergeCell ref="C18:D18"/>
    <mergeCell ref="C23:D23"/>
    <mergeCell ref="C8:D8"/>
    <mergeCell ref="A6:D6"/>
    <mergeCell ref="A4:D5"/>
    <mergeCell ref="E4:I4"/>
  </mergeCells>
  <phoneticPr fontId="0" type="noConversion"/>
  <printOptions horizontalCentered="1" verticalCentered="1"/>
  <pageMargins left="0.1" right="0.1" top="0.56999999999999995" bottom="0.1" header="0.8" footer="0.1"/>
  <pageSetup paperSize="9" scale="99" orientation="landscape" blackAndWhite="1" r:id="rId1"/>
  <headerFooter alignWithMargins="0"/>
</worksheet>
</file>

<file path=xl/worksheets/sheet29.xml><?xml version="1.0" encoding="utf-8"?>
<worksheet xmlns="http://schemas.openxmlformats.org/spreadsheetml/2006/main" xmlns:r="http://schemas.openxmlformats.org/officeDocument/2006/relationships">
  <sheetPr codeName="Sheet27"/>
  <dimension ref="B1:K42"/>
  <sheetViews>
    <sheetView topLeftCell="B1" workbookViewId="0">
      <selection activeCell="L9" sqref="L9"/>
    </sheetView>
  </sheetViews>
  <sheetFormatPr defaultRowHeight="12.75"/>
  <cols>
    <col min="1" max="1" width="9.28515625" customWidth="1"/>
    <col min="2" max="2" width="2" customWidth="1"/>
    <col min="3" max="3" width="3" customWidth="1"/>
    <col min="4" max="4" width="1.5703125" customWidth="1"/>
    <col min="5" max="5" width="55.7109375" customWidth="1"/>
    <col min="6" max="10" width="14.140625" customWidth="1"/>
  </cols>
  <sheetData>
    <row r="1" spans="2:10" ht="11.25" customHeight="1">
      <c r="B1" s="1825" t="s">
        <v>788</v>
      </c>
      <c r="C1" s="1825"/>
      <c r="D1" s="1825"/>
      <c r="E1" s="1825"/>
      <c r="F1" s="1825"/>
      <c r="G1" s="1825"/>
      <c r="H1" s="1825"/>
      <c r="I1" s="1825"/>
      <c r="J1" s="1825"/>
    </row>
    <row r="2" spans="2:10" ht="17.25" customHeight="1">
      <c r="B2" s="1857" t="str">
        <f>CONCATENATE(" Professional &amp; Technical Educational Institutions by type in the district of ",District!A1)</f>
        <v xml:space="preserve"> Professional &amp; Technical Educational Institutions by type in the district of Purba Medinipur</v>
      </c>
      <c r="C2" s="1857"/>
      <c r="D2" s="1857"/>
      <c r="E2" s="1857"/>
      <c r="F2" s="1857"/>
      <c r="G2" s="1857"/>
      <c r="H2" s="1857"/>
      <c r="I2" s="1857"/>
      <c r="J2" s="1857"/>
    </row>
    <row r="3" spans="2:10" ht="12.75" customHeight="1">
      <c r="B3" s="7"/>
      <c r="C3" s="345"/>
      <c r="D3" s="345"/>
      <c r="E3" s="345"/>
      <c r="F3" s="345"/>
      <c r="G3" s="345"/>
      <c r="H3" s="345"/>
      <c r="I3" s="345"/>
      <c r="J3" s="204" t="s">
        <v>1001</v>
      </c>
    </row>
    <row r="4" spans="2:10" ht="15" customHeight="1">
      <c r="B4" s="1866" t="s">
        <v>436</v>
      </c>
      <c r="C4" s="2046"/>
      <c r="D4" s="2046"/>
      <c r="E4" s="1906"/>
      <c r="F4" s="2048" t="s">
        <v>899</v>
      </c>
      <c r="G4" s="2049"/>
      <c r="H4" s="2049"/>
      <c r="I4" s="2049"/>
      <c r="J4" s="2050"/>
    </row>
    <row r="5" spans="2:10" ht="15" customHeight="1">
      <c r="B5" s="1860"/>
      <c r="C5" s="2047"/>
      <c r="D5" s="2047"/>
      <c r="E5" s="1907"/>
      <c r="F5" s="234" t="s">
        <v>1356</v>
      </c>
      <c r="G5" s="456" t="s">
        <v>306</v>
      </c>
      <c r="H5" s="1590" t="s">
        <v>1357</v>
      </c>
      <c r="I5" s="1590" t="s">
        <v>628</v>
      </c>
      <c r="J5" s="1590" t="s">
        <v>1639</v>
      </c>
    </row>
    <row r="6" spans="2:10" ht="12" customHeight="1">
      <c r="B6" s="2051" t="s">
        <v>955</v>
      </c>
      <c r="C6" s="2052"/>
      <c r="D6" s="2052"/>
      <c r="E6" s="2053"/>
      <c r="F6" s="9" t="s">
        <v>956</v>
      </c>
      <c r="G6" s="73" t="s">
        <v>957</v>
      </c>
      <c r="H6" s="9" t="s">
        <v>958</v>
      </c>
      <c r="I6" s="73" t="s">
        <v>959</v>
      </c>
      <c r="J6" s="73" t="s">
        <v>961</v>
      </c>
    </row>
    <row r="7" spans="2:10" ht="13.5" customHeight="1">
      <c r="B7" s="745" t="s">
        <v>1489</v>
      </c>
      <c r="C7" s="2033" t="s">
        <v>394</v>
      </c>
      <c r="D7" s="2034"/>
      <c r="E7" s="2035"/>
      <c r="F7" s="144">
        <f>SUM(F8,F13,F16)</f>
        <v>18</v>
      </c>
      <c r="G7" s="144">
        <f>SUM(G8,G13,G16)</f>
        <v>20</v>
      </c>
      <c r="H7" s="144">
        <f>SUM(H8,H13,H16)</f>
        <v>20</v>
      </c>
      <c r="I7" s="144">
        <f>SUM(I8,I13,I16)</f>
        <v>22</v>
      </c>
      <c r="J7" s="144">
        <f>SUM(J8,J13,J16)</f>
        <v>22</v>
      </c>
    </row>
    <row r="8" spans="2:10" ht="13.5" customHeight="1">
      <c r="B8" s="34"/>
      <c r="C8" s="864" t="s">
        <v>1313</v>
      </c>
      <c r="D8" s="2054" t="s">
        <v>1348</v>
      </c>
      <c r="E8" s="2055"/>
      <c r="F8" s="352">
        <f>SUM(F9:F12)</f>
        <v>3</v>
      </c>
      <c r="G8" s="352">
        <f>SUM(G9:G12)</f>
        <v>3</v>
      </c>
      <c r="H8" s="352">
        <f>SUM(H9:H12)</f>
        <v>3</v>
      </c>
      <c r="I8" s="352">
        <f>SUM(I9:I12)</f>
        <v>3</v>
      </c>
      <c r="J8" s="352">
        <f>SUM(J9:J12)</f>
        <v>3</v>
      </c>
    </row>
    <row r="9" spans="2:10" ht="13.5" customHeight="1">
      <c r="B9" s="34"/>
      <c r="C9" s="34"/>
      <c r="D9" s="7"/>
      <c r="E9" s="224" t="s">
        <v>1349</v>
      </c>
      <c r="F9" s="1617" t="s">
        <v>1384</v>
      </c>
      <c r="G9" s="86" t="s">
        <v>1384</v>
      </c>
      <c r="H9" s="86" t="s">
        <v>1384</v>
      </c>
      <c r="I9" s="86" t="s">
        <v>1384</v>
      </c>
      <c r="J9" s="86" t="s">
        <v>1384</v>
      </c>
    </row>
    <row r="10" spans="2:10" ht="13.5" customHeight="1">
      <c r="B10" s="34"/>
      <c r="C10" s="34"/>
      <c r="D10" s="7"/>
      <c r="E10" s="224" t="s">
        <v>289</v>
      </c>
      <c r="F10" s="1617" t="s">
        <v>1384</v>
      </c>
      <c r="G10" s="86" t="s">
        <v>1384</v>
      </c>
      <c r="H10" s="86" t="s">
        <v>1384</v>
      </c>
      <c r="I10" s="86" t="s">
        <v>1384</v>
      </c>
      <c r="J10" s="86" t="s">
        <v>1384</v>
      </c>
    </row>
    <row r="11" spans="2:10" ht="13.5" customHeight="1">
      <c r="B11" s="34"/>
      <c r="C11" s="34"/>
      <c r="D11" s="7"/>
      <c r="E11" s="224" t="s">
        <v>1350</v>
      </c>
      <c r="F11" s="1603">
        <v>1</v>
      </c>
      <c r="G11" s="86">
        <v>1</v>
      </c>
      <c r="H11" s="86">
        <v>1</v>
      </c>
      <c r="I11" s="86">
        <v>2</v>
      </c>
      <c r="J11" s="86">
        <v>3</v>
      </c>
    </row>
    <row r="12" spans="2:10" ht="13.5" customHeight="1">
      <c r="B12" s="34"/>
      <c r="C12" s="34"/>
      <c r="D12" s="7"/>
      <c r="E12" s="224" t="s">
        <v>841</v>
      </c>
      <c r="F12" s="855">
        <v>2</v>
      </c>
      <c r="G12" s="855">
        <v>2</v>
      </c>
      <c r="H12" s="855">
        <v>2</v>
      </c>
      <c r="I12" s="855">
        <v>1</v>
      </c>
      <c r="J12" s="1793" t="s">
        <v>1384</v>
      </c>
    </row>
    <row r="13" spans="2:10" ht="13.5" customHeight="1">
      <c r="B13" s="34"/>
      <c r="C13" s="864" t="s">
        <v>1311</v>
      </c>
      <c r="D13" s="2054" t="s">
        <v>1351</v>
      </c>
      <c r="E13" s="2055"/>
      <c r="F13" s="352">
        <f>IF(SUM(F14:F15)=0,"-",SUM(F14:F15))</f>
        <v>8</v>
      </c>
      <c r="G13" s="352">
        <f>IF(SUM(G14:G15)=0,"-",SUM(G14:G15))</f>
        <v>10</v>
      </c>
      <c r="H13" s="352">
        <f>IF(SUM(H14:H15)=0,"-",SUM(H14:H15))</f>
        <v>10</v>
      </c>
      <c r="I13" s="352">
        <f>IF(SUM(I14:I15)=0,"-",SUM(I14:I15))</f>
        <v>12</v>
      </c>
      <c r="J13" s="352">
        <f>IF(SUM(J14:J15)=0,"-",SUM(J14:J15))</f>
        <v>12</v>
      </c>
    </row>
    <row r="14" spans="2:10" ht="13.5" customHeight="1">
      <c r="B14" s="34"/>
      <c r="C14" s="34"/>
      <c r="D14" s="7"/>
      <c r="E14" s="313" t="s">
        <v>1353</v>
      </c>
      <c r="F14" s="813">
        <v>8</v>
      </c>
      <c r="G14" s="813">
        <v>10</v>
      </c>
      <c r="H14" s="813">
        <v>10</v>
      </c>
      <c r="I14" s="813">
        <v>12</v>
      </c>
      <c r="J14" s="813">
        <v>12</v>
      </c>
    </row>
    <row r="15" spans="2:10" ht="13.5" customHeight="1">
      <c r="B15" s="34"/>
      <c r="C15" s="34"/>
      <c r="D15" s="7"/>
      <c r="E15" s="224" t="s">
        <v>1354</v>
      </c>
      <c r="F15" s="812" t="s">
        <v>1384</v>
      </c>
      <c r="G15" s="86" t="s">
        <v>1384</v>
      </c>
      <c r="H15" s="86" t="s">
        <v>1384</v>
      </c>
      <c r="I15" s="86" t="s">
        <v>1384</v>
      </c>
      <c r="J15" s="86" t="s">
        <v>1384</v>
      </c>
    </row>
    <row r="16" spans="2:10" ht="27" customHeight="1">
      <c r="B16" s="34"/>
      <c r="C16" s="862" t="s">
        <v>1312</v>
      </c>
      <c r="D16" s="2041" t="s">
        <v>1316</v>
      </c>
      <c r="E16" s="2042"/>
      <c r="F16" s="311">
        <v>7</v>
      </c>
      <c r="G16" s="311">
        <v>7</v>
      </c>
      <c r="H16" s="311">
        <v>7</v>
      </c>
      <c r="I16" s="311">
        <v>7</v>
      </c>
      <c r="J16" s="311">
        <v>7</v>
      </c>
    </row>
    <row r="17" spans="2:11" ht="13.5" customHeight="1">
      <c r="B17" s="746" t="s">
        <v>1490</v>
      </c>
      <c r="C17" s="2061" t="s">
        <v>395</v>
      </c>
      <c r="D17" s="2062"/>
      <c r="E17" s="2063"/>
      <c r="F17" s="145">
        <f>SUM(F18,F25,F28)</f>
        <v>22</v>
      </c>
      <c r="G17" s="145">
        <f>SUM(G18,G25,G28)</f>
        <v>22</v>
      </c>
      <c r="H17" s="145">
        <f>SUM(H18,H25,H28)</f>
        <v>22</v>
      </c>
      <c r="I17" s="145">
        <f>SUM(I18,I25,I28)</f>
        <v>23</v>
      </c>
      <c r="J17" s="145">
        <f>SUM(J18,J25,J28)</f>
        <v>23</v>
      </c>
    </row>
    <row r="18" spans="2:11" ht="13.5" customHeight="1">
      <c r="B18" s="34"/>
      <c r="C18" s="864" t="s">
        <v>1313</v>
      </c>
      <c r="D18" s="2054" t="s">
        <v>1355</v>
      </c>
      <c r="E18" s="2055"/>
      <c r="F18" s="310">
        <f>SUM(F19:F24)</f>
        <v>8</v>
      </c>
      <c r="G18" s="310">
        <f>SUM(G19:G24)</f>
        <v>8</v>
      </c>
      <c r="H18" s="310">
        <f>SUM(H19:H24)</f>
        <v>8</v>
      </c>
      <c r="I18" s="310">
        <f>SUM(I19:I24)</f>
        <v>8</v>
      </c>
      <c r="J18" s="310">
        <f>SUM(J19:J24)</f>
        <v>8</v>
      </c>
    </row>
    <row r="19" spans="2:11" ht="13.5" customHeight="1">
      <c r="B19" s="34"/>
      <c r="C19" s="34"/>
      <c r="D19" s="7"/>
      <c r="E19" s="313" t="s">
        <v>706</v>
      </c>
      <c r="F19" s="1232" t="s">
        <v>1384</v>
      </c>
      <c r="G19" s="1610" t="s">
        <v>1384</v>
      </c>
      <c r="H19" s="1610" t="s">
        <v>1384</v>
      </c>
      <c r="I19" s="1610" t="s">
        <v>1384</v>
      </c>
      <c r="J19" s="110" t="s">
        <v>1384</v>
      </c>
    </row>
    <row r="20" spans="2:11" ht="13.5" customHeight="1">
      <c r="B20" s="34"/>
      <c r="C20" s="34"/>
      <c r="D20" s="7"/>
      <c r="E20" s="224" t="s">
        <v>602</v>
      </c>
      <c r="F20" s="1603">
        <v>2</v>
      </c>
      <c r="G20" s="86">
        <v>2</v>
      </c>
      <c r="H20" s="86">
        <v>2</v>
      </c>
      <c r="I20" s="86">
        <v>2</v>
      </c>
      <c r="J20" s="86">
        <v>2</v>
      </c>
    </row>
    <row r="21" spans="2:11" ht="13.5" customHeight="1">
      <c r="B21" s="34"/>
      <c r="C21" s="34"/>
      <c r="D21" s="7"/>
      <c r="E21" s="224" t="s">
        <v>603</v>
      </c>
      <c r="F21" s="1603">
        <v>1</v>
      </c>
      <c r="G21" s="749">
        <v>1</v>
      </c>
      <c r="H21" s="749">
        <v>1</v>
      </c>
      <c r="I21" s="749">
        <v>1</v>
      </c>
      <c r="J21" s="749">
        <v>1</v>
      </c>
    </row>
    <row r="22" spans="2:11" ht="13.5" customHeight="1">
      <c r="B22" s="34"/>
      <c r="C22" s="34"/>
      <c r="D22" s="7"/>
      <c r="E22" s="224" t="s">
        <v>604</v>
      </c>
      <c r="F22" s="1603">
        <v>2</v>
      </c>
      <c r="G22" s="86">
        <v>2</v>
      </c>
      <c r="H22" s="86">
        <v>2</v>
      </c>
      <c r="I22" s="86">
        <v>2</v>
      </c>
      <c r="J22" s="86">
        <v>2</v>
      </c>
    </row>
    <row r="23" spans="2:11" ht="13.5" customHeight="1">
      <c r="B23" s="34"/>
      <c r="C23" s="34"/>
      <c r="D23" s="7"/>
      <c r="E23" s="224" t="s">
        <v>1358</v>
      </c>
      <c r="F23" s="1617" t="s">
        <v>1384</v>
      </c>
      <c r="G23" s="86" t="s">
        <v>1384</v>
      </c>
      <c r="H23" s="86" t="s">
        <v>1384</v>
      </c>
      <c r="I23" s="86" t="s">
        <v>1384</v>
      </c>
      <c r="J23" s="86" t="s">
        <v>1384</v>
      </c>
    </row>
    <row r="24" spans="2:11" ht="26.25" customHeight="1">
      <c r="B24" s="34"/>
      <c r="C24" s="34"/>
      <c r="D24" s="7"/>
      <c r="E24" s="313" t="s">
        <v>252</v>
      </c>
      <c r="F24" s="1593">
        <v>3</v>
      </c>
      <c r="G24" s="1610">
        <v>3</v>
      </c>
      <c r="H24" s="1610">
        <v>3</v>
      </c>
      <c r="I24" s="1610">
        <v>3</v>
      </c>
      <c r="J24" s="110">
        <v>3</v>
      </c>
    </row>
    <row r="25" spans="2:11" ht="13.5" customHeight="1">
      <c r="B25" s="34"/>
      <c r="C25" s="864" t="s">
        <v>1311</v>
      </c>
      <c r="D25" s="2054" t="s">
        <v>1359</v>
      </c>
      <c r="E25" s="2055"/>
      <c r="F25" s="310">
        <f>SUM(F26:F27)</f>
        <v>12</v>
      </c>
      <c r="G25" s="310">
        <v>12</v>
      </c>
      <c r="H25" s="310">
        <f>SUM(H26:H27)</f>
        <v>12</v>
      </c>
      <c r="I25" s="310">
        <f>SUM(I26:I27)</f>
        <v>13</v>
      </c>
      <c r="J25" s="310">
        <f>SUM(J26:J27)</f>
        <v>13</v>
      </c>
    </row>
    <row r="26" spans="2:11" ht="13.5" customHeight="1">
      <c r="B26" s="34"/>
      <c r="C26" s="34"/>
      <c r="D26" s="7"/>
      <c r="E26" s="224" t="s">
        <v>605</v>
      </c>
      <c r="F26" s="1603">
        <v>12</v>
      </c>
      <c r="G26" s="86">
        <v>12</v>
      </c>
      <c r="H26" s="86">
        <v>12</v>
      </c>
      <c r="I26" s="86">
        <v>13</v>
      </c>
      <c r="J26" s="86">
        <v>13</v>
      </c>
    </row>
    <row r="27" spans="2:11" ht="13.5" customHeight="1">
      <c r="B27" s="34"/>
      <c r="C27" s="34"/>
      <c r="D27" s="7"/>
      <c r="E27" s="224" t="s">
        <v>1360</v>
      </c>
      <c r="F27" s="1617" t="s">
        <v>1384</v>
      </c>
      <c r="G27" s="86" t="s">
        <v>1384</v>
      </c>
      <c r="H27" s="86" t="s">
        <v>1384</v>
      </c>
      <c r="I27" s="86" t="s">
        <v>1384</v>
      </c>
      <c r="J27" s="86" t="s">
        <v>1384</v>
      </c>
    </row>
    <row r="28" spans="2:11" ht="13.5" customHeight="1">
      <c r="B28" s="34"/>
      <c r="C28" s="864" t="s">
        <v>1312</v>
      </c>
      <c r="D28" s="2054" t="s">
        <v>1628</v>
      </c>
      <c r="E28" s="2055"/>
      <c r="F28" s="352">
        <f>SUM(F29:F33)</f>
        <v>2</v>
      </c>
      <c r="G28" s="310">
        <f>SUM(G29:G33)</f>
        <v>2</v>
      </c>
      <c r="H28" s="310">
        <f>SUM(H29:H33)</f>
        <v>2</v>
      </c>
      <c r="I28" s="310">
        <f>SUM(I29:I33)</f>
        <v>2</v>
      </c>
      <c r="J28" s="310">
        <f>SUM(J29:J33)</f>
        <v>2</v>
      </c>
      <c r="K28" s="312"/>
    </row>
    <row r="29" spans="2:11" ht="13.5" customHeight="1">
      <c r="B29" s="34"/>
      <c r="C29" s="34"/>
      <c r="D29" s="7"/>
      <c r="E29" s="224" t="s">
        <v>1361</v>
      </c>
      <c r="F29" s="1603">
        <v>1</v>
      </c>
      <c r="G29" s="86">
        <v>1</v>
      </c>
      <c r="H29" s="749">
        <v>1</v>
      </c>
      <c r="I29" s="749">
        <v>1</v>
      </c>
      <c r="J29" s="749">
        <v>1</v>
      </c>
    </row>
    <row r="30" spans="2:11" ht="13.5" customHeight="1">
      <c r="B30" s="34"/>
      <c r="C30" s="34"/>
      <c r="D30" s="7"/>
      <c r="E30" s="224" t="s">
        <v>1362</v>
      </c>
      <c r="F30" s="1617" t="s">
        <v>1384</v>
      </c>
      <c r="G30" s="86" t="s">
        <v>1384</v>
      </c>
      <c r="H30" s="86" t="s">
        <v>1384</v>
      </c>
      <c r="I30" s="86" t="s">
        <v>1384</v>
      </c>
      <c r="J30" s="86" t="s">
        <v>1384</v>
      </c>
    </row>
    <row r="31" spans="2:11" ht="13.5" customHeight="1">
      <c r="B31" s="34"/>
      <c r="C31" s="34"/>
      <c r="D31" s="7"/>
      <c r="E31" s="224" t="s">
        <v>1365</v>
      </c>
      <c r="F31" s="1617" t="s">
        <v>1384</v>
      </c>
      <c r="G31" s="86" t="s">
        <v>1384</v>
      </c>
      <c r="H31" s="86" t="s">
        <v>1384</v>
      </c>
      <c r="I31" s="86" t="s">
        <v>1384</v>
      </c>
      <c r="J31" s="86" t="s">
        <v>1384</v>
      </c>
    </row>
    <row r="32" spans="2:11" ht="13.5" customHeight="1">
      <c r="B32" s="34"/>
      <c r="C32" s="34"/>
      <c r="D32" s="7"/>
      <c r="E32" s="224" t="s">
        <v>1363</v>
      </c>
      <c r="F32" s="1617" t="s">
        <v>1384</v>
      </c>
      <c r="G32" s="86" t="s">
        <v>1384</v>
      </c>
      <c r="H32" s="86" t="s">
        <v>1384</v>
      </c>
      <c r="I32" s="86" t="s">
        <v>1384</v>
      </c>
      <c r="J32" s="86" t="s">
        <v>1384</v>
      </c>
    </row>
    <row r="33" spans="2:10" ht="13.5" customHeight="1">
      <c r="B33" s="34"/>
      <c r="C33" s="34"/>
      <c r="D33" s="7"/>
      <c r="E33" s="315" t="s">
        <v>1364</v>
      </c>
      <c r="F33" s="1603">
        <v>1</v>
      </c>
      <c r="G33" s="86">
        <v>1</v>
      </c>
      <c r="H33" s="749">
        <v>1</v>
      </c>
      <c r="I33" s="749">
        <v>1</v>
      </c>
      <c r="J33" s="749">
        <v>1</v>
      </c>
    </row>
    <row r="34" spans="2:10" ht="13.5" customHeight="1">
      <c r="B34" s="746" t="s">
        <v>1491</v>
      </c>
      <c r="C34" s="2056" t="s">
        <v>396</v>
      </c>
      <c r="D34" s="2057"/>
      <c r="E34" s="2058"/>
      <c r="F34" s="1617" t="s">
        <v>1384</v>
      </c>
      <c r="G34" s="86" t="s">
        <v>1384</v>
      </c>
      <c r="H34" s="86" t="s">
        <v>1384</v>
      </c>
      <c r="I34" s="86" t="s">
        <v>1384</v>
      </c>
      <c r="J34" s="86" t="s">
        <v>1384</v>
      </c>
    </row>
    <row r="35" spans="2:10" ht="13.5" customHeight="1">
      <c r="B35" s="119"/>
      <c r="C35" s="2059" t="s">
        <v>979</v>
      </c>
      <c r="D35" s="2059"/>
      <c r="E35" s="2060"/>
      <c r="F35" s="1595">
        <f>SUM(F7,F17,F34)</f>
        <v>40</v>
      </c>
      <c r="G35" s="1595">
        <f>SUM(G7,G17,G34)</f>
        <v>42</v>
      </c>
      <c r="H35" s="1595">
        <f>SUM(H7,H17,H34)</f>
        <v>42</v>
      </c>
      <c r="I35" s="1595">
        <f>SUM(I7,I17,I34)</f>
        <v>45</v>
      </c>
      <c r="J35" s="139">
        <f>SUM(J7,J17,J34)</f>
        <v>45</v>
      </c>
    </row>
    <row r="36" spans="2:10">
      <c r="B36" s="62"/>
      <c r="C36" s="62"/>
      <c r="D36" s="62"/>
      <c r="E36" s="62"/>
      <c r="F36" s="62"/>
      <c r="G36" s="324"/>
      <c r="I36" s="561"/>
      <c r="J36" s="1134" t="str">
        <f>CONCATENATE("Source : Heads of all Technical and Professional Institutions, ",District!A1)</f>
        <v>Source : Heads of all Technical and Professional Institutions, Purba Medinipur</v>
      </c>
    </row>
    <row r="37" spans="2:10">
      <c r="B37" s="62"/>
      <c r="C37" s="62"/>
      <c r="D37" s="62"/>
      <c r="E37" s="62"/>
      <c r="F37" s="62"/>
      <c r="G37" s="320"/>
      <c r="H37" s="529"/>
      <c r="I37" s="529"/>
      <c r="J37" s="529"/>
    </row>
    <row r="38" spans="2:10">
      <c r="B38" s="62"/>
      <c r="C38" s="62"/>
      <c r="D38" s="62"/>
      <c r="E38" s="62"/>
      <c r="F38" s="62"/>
      <c r="G38" s="62"/>
      <c r="H38" s="62"/>
      <c r="I38" s="62"/>
      <c r="J38" s="62"/>
    </row>
    <row r="39" spans="2:10">
      <c r="B39" s="62"/>
      <c r="C39" s="62"/>
      <c r="D39" s="62"/>
      <c r="E39" s="62"/>
      <c r="F39" s="62"/>
      <c r="G39" s="62"/>
      <c r="H39" s="62"/>
      <c r="I39" s="62"/>
      <c r="J39" s="62"/>
    </row>
    <row r="40" spans="2:10">
      <c r="B40" s="62"/>
      <c r="C40" s="62"/>
      <c r="D40" s="62"/>
      <c r="E40" s="62"/>
      <c r="F40" s="62"/>
      <c r="G40" s="62"/>
      <c r="H40" s="62"/>
      <c r="I40" s="62"/>
      <c r="J40" s="62"/>
    </row>
    <row r="41" spans="2:10">
      <c r="B41" s="62"/>
      <c r="C41" s="62"/>
      <c r="D41" s="62"/>
      <c r="E41" s="62"/>
      <c r="F41" s="62"/>
      <c r="G41" s="62"/>
      <c r="H41" s="62"/>
      <c r="I41" s="62"/>
      <c r="J41" s="62"/>
    </row>
    <row r="42" spans="2:10">
      <c r="B42" s="62"/>
      <c r="C42" s="62"/>
      <c r="D42" s="62"/>
      <c r="E42" s="62"/>
      <c r="F42" s="62"/>
      <c r="G42" s="62"/>
      <c r="H42" s="62"/>
      <c r="I42" s="62"/>
      <c r="J42" s="62"/>
    </row>
  </sheetData>
  <mergeCells count="15">
    <mergeCell ref="C34:E34"/>
    <mergeCell ref="D13:E13"/>
    <mergeCell ref="D18:E18"/>
    <mergeCell ref="C35:E35"/>
    <mergeCell ref="D28:E28"/>
    <mergeCell ref="D25:E25"/>
    <mergeCell ref="C17:E17"/>
    <mergeCell ref="B6:E6"/>
    <mergeCell ref="C7:E7"/>
    <mergeCell ref="D16:E16"/>
    <mergeCell ref="D8:E8"/>
    <mergeCell ref="B1:J1"/>
    <mergeCell ref="B2:J2"/>
    <mergeCell ref="F4:J4"/>
    <mergeCell ref="B4:E5"/>
  </mergeCells>
  <phoneticPr fontId="0" type="noConversion"/>
  <pageMargins left="0.1" right="0.1" top="0.65" bottom="0.1" header="0.5" footer="0.1"/>
  <pageSetup paperSize="9" orientation="landscape" blackAndWhite="1" r:id="rId1"/>
  <headerFooter alignWithMargins="0"/>
</worksheet>
</file>

<file path=xl/worksheets/sheet3.xml><?xml version="1.0" encoding="utf-8"?>
<worksheet xmlns="http://schemas.openxmlformats.org/spreadsheetml/2006/main" xmlns:r="http://schemas.openxmlformats.org/officeDocument/2006/relationships">
  <dimension ref="A3:J41"/>
  <sheetViews>
    <sheetView showGridLines="0" workbookViewId="0">
      <selection activeCell="A40" sqref="A40:C40"/>
    </sheetView>
  </sheetViews>
  <sheetFormatPr defaultRowHeight="12.75"/>
  <sheetData>
    <row r="3" spans="1:10">
      <c r="J3" s="24"/>
    </row>
    <row r="4" spans="1:10">
      <c r="J4" s="24"/>
    </row>
    <row r="5" spans="1:10" ht="35.25">
      <c r="A5" s="1810" t="s">
        <v>1137</v>
      </c>
      <c r="B5" s="1810"/>
      <c r="C5" s="1810"/>
      <c r="D5" s="1810"/>
      <c r="E5" s="1810"/>
      <c r="F5" s="1810"/>
      <c r="G5" s="1810"/>
      <c r="H5" s="1810"/>
      <c r="I5" s="397"/>
      <c r="J5" s="24"/>
    </row>
    <row r="6" spans="1:10">
      <c r="J6" s="24"/>
    </row>
    <row r="7" spans="1:10">
      <c r="J7" s="24"/>
    </row>
    <row r="8" spans="1:10">
      <c r="J8" s="24"/>
    </row>
    <row r="9" spans="1:10" ht="18.75">
      <c r="A9" s="1813" t="s">
        <v>1340</v>
      </c>
      <c r="B9" s="1814"/>
      <c r="C9" s="1814"/>
      <c r="D9" s="1814"/>
      <c r="E9" s="1814"/>
      <c r="F9" s="1814"/>
      <c r="G9" s="1814"/>
      <c r="H9" s="1814"/>
      <c r="I9" s="398"/>
      <c r="J9" s="24"/>
    </row>
    <row r="10" spans="1:10" ht="18.75">
      <c r="A10" s="1814"/>
      <c r="B10" s="1814"/>
      <c r="C10" s="1814"/>
      <c r="D10" s="1814"/>
      <c r="E10" s="1814"/>
      <c r="F10" s="1814"/>
      <c r="G10" s="1814"/>
      <c r="H10" s="1814"/>
      <c r="I10" s="398"/>
      <c r="J10" s="24"/>
    </row>
    <row r="11" spans="1:10" ht="18.75">
      <c r="A11" s="1814"/>
      <c r="B11" s="1814"/>
      <c r="C11" s="1814"/>
      <c r="D11" s="1814"/>
      <c r="E11" s="1814"/>
      <c r="F11" s="1814"/>
      <c r="G11" s="1814"/>
      <c r="H11" s="1814"/>
      <c r="I11" s="398"/>
    </row>
    <row r="12" spans="1:10" ht="18.75">
      <c r="A12" s="1814"/>
      <c r="B12" s="1814"/>
      <c r="C12" s="1814"/>
      <c r="D12" s="1814"/>
      <c r="E12" s="1814"/>
      <c r="F12" s="1814"/>
      <c r="G12" s="1814"/>
      <c r="H12" s="1814"/>
      <c r="I12" s="398"/>
    </row>
    <row r="13" spans="1:10" ht="18.75">
      <c r="A13" s="1814"/>
      <c r="B13" s="1814"/>
      <c r="C13" s="1814"/>
      <c r="D13" s="1814"/>
      <c r="E13" s="1814"/>
      <c r="F13" s="1814"/>
      <c r="G13" s="1814"/>
      <c r="H13" s="1814"/>
      <c r="I13" s="398"/>
    </row>
    <row r="14" spans="1:10">
      <c r="A14" s="1814"/>
      <c r="B14" s="1814"/>
      <c r="C14" s="1814"/>
      <c r="D14" s="1814"/>
      <c r="E14" s="1814"/>
      <c r="F14" s="1814"/>
      <c r="G14" s="1814"/>
      <c r="H14" s="1814"/>
      <c r="I14" s="399"/>
    </row>
    <row r="15" spans="1:10">
      <c r="A15" s="1814"/>
      <c r="B15" s="1814"/>
      <c r="C15" s="1814"/>
      <c r="D15" s="1814"/>
      <c r="E15" s="1814"/>
      <c r="F15" s="1814"/>
      <c r="G15" s="1814"/>
      <c r="H15" s="1814"/>
      <c r="I15" s="399"/>
    </row>
    <row r="16" spans="1:10">
      <c r="A16" s="1814"/>
      <c r="B16" s="1814"/>
      <c r="C16" s="1814"/>
      <c r="D16" s="1814"/>
      <c r="E16" s="1814"/>
      <c r="F16" s="1814"/>
      <c r="G16" s="1814"/>
      <c r="H16" s="1814"/>
    </row>
    <row r="17" spans="1:9">
      <c r="A17" s="1814"/>
      <c r="B17" s="1814"/>
      <c r="C17" s="1814"/>
      <c r="D17" s="1814"/>
      <c r="E17" s="1814"/>
      <c r="F17" s="1814"/>
      <c r="G17" s="1814"/>
      <c r="H17" s="1814"/>
    </row>
    <row r="18" spans="1:9" ht="14.1" customHeight="1">
      <c r="A18" s="1814"/>
      <c r="B18" s="1814"/>
      <c r="C18" s="1814"/>
      <c r="D18" s="1814"/>
      <c r="E18" s="1814"/>
      <c r="F18" s="1814"/>
      <c r="G18" s="1814"/>
      <c r="H18" s="1814"/>
      <c r="I18" s="398"/>
    </row>
    <row r="19" spans="1:9" ht="18.75">
      <c r="A19" s="1814"/>
      <c r="B19" s="1814"/>
      <c r="C19" s="1814"/>
      <c r="D19" s="1814"/>
      <c r="E19" s="1814"/>
      <c r="F19" s="1814"/>
      <c r="G19" s="1814"/>
      <c r="H19" s="1814"/>
      <c r="I19" s="398"/>
    </row>
    <row r="20" spans="1:9" ht="18.75">
      <c r="A20" s="1814"/>
      <c r="B20" s="1814"/>
      <c r="C20" s="1814"/>
      <c r="D20" s="1814"/>
      <c r="E20" s="1814"/>
      <c r="F20" s="1814"/>
      <c r="G20" s="1814"/>
      <c r="H20" s="1814"/>
      <c r="I20" s="398"/>
    </row>
    <row r="21" spans="1:9" ht="18.75">
      <c r="A21" s="1814"/>
      <c r="B21" s="1814"/>
      <c r="C21" s="1814"/>
      <c r="D21" s="1814"/>
      <c r="E21" s="1814"/>
      <c r="F21" s="1814"/>
      <c r="G21" s="1814"/>
      <c r="H21" s="1814"/>
      <c r="I21" s="398"/>
    </row>
    <row r="22" spans="1:9" ht="18.75">
      <c r="A22" s="1814"/>
      <c r="B22" s="1814"/>
      <c r="C22" s="1814"/>
      <c r="D22" s="1814"/>
      <c r="E22" s="1814"/>
      <c r="F22" s="1814"/>
      <c r="G22" s="1814"/>
      <c r="H22" s="1814"/>
      <c r="I22" s="398"/>
    </row>
    <row r="23" spans="1:9" ht="18.75">
      <c r="A23" s="1814"/>
      <c r="B23" s="1814"/>
      <c r="C23" s="1814"/>
      <c r="D23" s="1814"/>
      <c r="E23" s="1814"/>
      <c r="F23" s="1814"/>
      <c r="G23" s="1814"/>
      <c r="H23" s="1814"/>
      <c r="I23" s="398"/>
    </row>
    <row r="24" spans="1:9" ht="18.75">
      <c r="A24" s="1814"/>
      <c r="B24" s="1814"/>
      <c r="C24" s="1814"/>
      <c r="D24" s="1814"/>
      <c r="E24" s="1814"/>
      <c r="F24" s="1814"/>
      <c r="G24" s="1814"/>
      <c r="H24" s="1814"/>
      <c r="I24" s="400"/>
    </row>
    <row r="25" spans="1:9" ht="18.75">
      <c r="A25" s="1814"/>
      <c r="B25" s="1814"/>
      <c r="C25" s="1814"/>
      <c r="D25" s="1814"/>
      <c r="E25" s="1814"/>
      <c r="F25" s="1814"/>
      <c r="G25" s="1814"/>
      <c r="H25" s="1814"/>
      <c r="I25" s="400"/>
    </row>
    <row r="26" spans="1:9" ht="30" customHeight="1">
      <c r="A26" s="1814"/>
      <c r="B26" s="1814"/>
      <c r="C26" s="1814"/>
      <c r="D26" s="1814"/>
      <c r="E26" s="1814"/>
      <c r="F26" s="1814"/>
      <c r="G26" s="1814"/>
      <c r="H26" s="1814"/>
      <c r="I26" s="400"/>
    </row>
    <row r="27" spans="1:9" ht="18.75">
      <c r="A27" s="1814"/>
      <c r="B27" s="1814"/>
      <c r="C27" s="1814"/>
      <c r="D27" s="1814"/>
      <c r="E27" s="1814"/>
      <c r="F27" s="1814"/>
      <c r="G27" s="1814"/>
      <c r="H27" s="1814"/>
      <c r="I27" s="400"/>
    </row>
    <row r="28" spans="1:9">
      <c r="A28" s="1815"/>
      <c r="B28" s="1815"/>
      <c r="C28" s="1815"/>
      <c r="D28" s="1815"/>
      <c r="E28" s="1815"/>
      <c r="F28" s="1815"/>
      <c r="G28" s="1815"/>
      <c r="H28" s="1815"/>
    </row>
    <row r="29" spans="1:9">
      <c r="A29" s="1815"/>
      <c r="B29" s="1815"/>
      <c r="C29" s="1815"/>
      <c r="D29" s="1815"/>
      <c r="E29" s="1815"/>
      <c r="F29" s="1815"/>
      <c r="G29" s="1815"/>
      <c r="H29" s="1815"/>
    </row>
    <row r="30" spans="1:9">
      <c r="A30" s="1816"/>
      <c r="B30" s="1816"/>
      <c r="C30" s="1816"/>
      <c r="D30" s="1816"/>
      <c r="E30" s="1816"/>
      <c r="F30" s="1816"/>
      <c r="G30" s="1816"/>
      <c r="H30" s="1816"/>
    </row>
    <row r="31" spans="1:9">
      <c r="A31" s="1816"/>
      <c r="B31" s="1816"/>
      <c r="C31" s="1816"/>
      <c r="D31" s="1816"/>
      <c r="E31" s="1816"/>
      <c r="F31" s="1816"/>
      <c r="G31" s="1816"/>
      <c r="H31" s="1816"/>
    </row>
    <row r="32" spans="1:9">
      <c r="A32" s="1816"/>
      <c r="B32" s="1816"/>
      <c r="C32" s="1816"/>
      <c r="D32" s="1816"/>
      <c r="E32" s="1816"/>
      <c r="F32" s="1816"/>
      <c r="G32" s="1816"/>
      <c r="H32" s="1816"/>
    </row>
    <row r="33" spans="1:9">
      <c r="A33" s="1816"/>
      <c r="B33" s="1816"/>
      <c r="C33" s="1816"/>
      <c r="D33" s="1816"/>
      <c r="E33" s="1816"/>
      <c r="F33" s="1816"/>
      <c r="G33" s="1816"/>
      <c r="H33" s="1816"/>
    </row>
    <row r="34" spans="1:9">
      <c r="A34" s="1816"/>
      <c r="B34" s="1816"/>
      <c r="C34" s="1816"/>
      <c r="D34" s="1816"/>
      <c r="E34" s="1816"/>
      <c r="F34" s="1816"/>
      <c r="G34" s="1816"/>
      <c r="H34" s="1816"/>
    </row>
    <row r="36" spans="1:9">
      <c r="D36" s="1812"/>
      <c r="E36" s="1812"/>
      <c r="F36" s="1812"/>
      <c r="G36" s="1812"/>
      <c r="H36" s="1812"/>
      <c r="I36" s="402"/>
    </row>
    <row r="37" spans="1:9">
      <c r="D37" s="402"/>
      <c r="E37" s="402"/>
      <c r="F37" s="402"/>
      <c r="G37" s="402"/>
      <c r="H37" s="402"/>
      <c r="I37" s="402"/>
    </row>
    <row r="38" spans="1:9" ht="15.75">
      <c r="A38" s="1227"/>
      <c r="B38" s="1227"/>
      <c r="C38" s="1227"/>
      <c r="D38" s="1811"/>
      <c r="E38" s="1811"/>
      <c r="F38" s="1811"/>
      <c r="G38" s="1811"/>
      <c r="H38" s="1811"/>
      <c r="I38" s="401"/>
    </row>
    <row r="39" spans="1:9" ht="15.75">
      <c r="A39" s="1817" t="s">
        <v>1138</v>
      </c>
      <c r="B39" s="1817"/>
      <c r="C39" s="1227"/>
      <c r="D39" s="1811" t="s">
        <v>199</v>
      </c>
      <c r="E39" s="1811"/>
      <c r="F39" s="1811"/>
      <c r="G39" s="1811"/>
      <c r="H39" s="1811"/>
      <c r="I39" s="401"/>
    </row>
    <row r="40" spans="1:9" ht="15.75">
      <c r="A40" s="1817" t="s">
        <v>1744</v>
      </c>
      <c r="B40" s="1817"/>
      <c r="C40" s="1817"/>
      <c r="D40" s="1811" t="s">
        <v>1139</v>
      </c>
      <c r="E40" s="1811"/>
      <c r="F40" s="1811"/>
      <c r="G40" s="1811"/>
      <c r="H40" s="1811"/>
      <c r="I40" s="401"/>
    </row>
    <row r="41" spans="1:9" ht="15.75">
      <c r="A41" s="1227"/>
      <c r="B41" s="1227"/>
      <c r="C41" s="1227"/>
      <c r="D41" s="1811" t="s">
        <v>1140</v>
      </c>
      <c r="E41" s="1811"/>
      <c r="F41" s="1811"/>
      <c r="G41" s="1811"/>
      <c r="H41" s="1811"/>
      <c r="I41" s="401"/>
    </row>
  </sheetData>
  <mergeCells count="9">
    <mergeCell ref="A5:H5"/>
    <mergeCell ref="D38:H38"/>
    <mergeCell ref="D36:H36"/>
    <mergeCell ref="A9:H34"/>
    <mergeCell ref="D41:H41"/>
    <mergeCell ref="A39:B39"/>
    <mergeCell ref="D39:H39"/>
    <mergeCell ref="D40:H40"/>
    <mergeCell ref="A40:C40"/>
  </mergeCells>
  <phoneticPr fontId="0" type="noConversion"/>
  <printOptions horizontalCentered="1"/>
  <pageMargins left="0.1" right="0.1" top="1" bottom="1" header="0.5" footer="0.5"/>
  <pageSetup paperSize="9" orientation="portrait" blackAndWhite="1" horizontalDpi="4294967295" r:id="rId1"/>
  <headerFooter alignWithMargins="0"/>
</worksheet>
</file>

<file path=xl/worksheets/sheet30.xml><?xml version="1.0" encoding="utf-8"?>
<worksheet xmlns="http://schemas.openxmlformats.org/spreadsheetml/2006/main" xmlns:r="http://schemas.openxmlformats.org/officeDocument/2006/relationships">
  <sheetPr codeName="Sheet28"/>
  <dimension ref="B1:S47"/>
  <sheetViews>
    <sheetView workbookViewId="0">
      <selection activeCell="C3" sqref="C3"/>
    </sheetView>
  </sheetViews>
  <sheetFormatPr defaultRowHeight="12.75"/>
  <cols>
    <col min="1" max="1" width="9.28515625" customWidth="1"/>
    <col min="2" max="2" width="4" customWidth="1"/>
    <col min="5" max="5" width="27.7109375" customWidth="1"/>
    <col min="6" max="10" width="15.28515625" customWidth="1"/>
  </cols>
  <sheetData>
    <row r="1" spans="2:19" ht="17.25" customHeight="1">
      <c r="B1" s="428"/>
      <c r="C1" s="1825" t="s">
        <v>774</v>
      </c>
      <c r="D1" s="1825"/>
      <c r="E1" s="1825"/>
      <c r="F1" s="1825"/>
      <c r="G1" s="1825"/>
      <c r="H1" s="1825"/>
      <c r="I1" s="1825"/>
      <c r="J1" s="1825"/>
    </row>
    <row r="2" spans="2:19" ht="14.25" customHeight="1">
      <c r="B2" s="2078" t="str">
        <f>CONCATENATE(" Special and Non-formal Educational Institutions by type in the district of ",District!A1)</f>
        <v xml:space="preserve"> Special and Non-formal Educational Institutions by type in the district of Purba Medinipur</v>
      </c>
      <c r="C2" s="2078"/>
      <c r="D2" s="2078"/>
      <c r="E2" s="2078"/>
      <c r="F2" s="2078"/>
      <c r="G2" s="2078"/>
      <c r="H2" s="2078"/>
      <c r="I2" s="2078"/>
      <c r="J2" s="2078"/>
    </row>
    <row r="3" spans="2:19" ht="14.25" customHeight="1">
      <c r="C3" s="345"/>
      <c r="D3" s="345"/>
      <c r="E3" s="345"/>
      <c r="F3" s="345"/>
      <c r="G3" s="345"/>
      <c r="H3" s="345"/>
      <c r="I3" s="345"/>
      <c r="J3" s="204" t="s">
        <v>1001</v>
      </c>
    </row>
    <row r="4" spans="2:19" ht="14.25" customHeight="1">
      <c r="B4" s="1866" t="s">
        <v>436</v>
      </c>
      <c r="C4" s="2046"/>
      <c r="D4" s="2046"/>
      <c r="E4" s="1906"/>
      <c r="F4" s="2048" t="s">
        <v>899</v>
      </c>
      <c r="G4" s="2049"/>
      <c r="H4" s="2049"/>
      <c r="I4" s="2049"/>
      <c r="J4" s="2050"/>
      <c r="M4" s="428"/>
      <c r="N4" s="428"/>
      <c r="O4" s="428"/>
      <c r="P4" s="428"/>
      <c r="Q4" s="428"/>
      <c r="R4" s="428"/>
      <c r="S4" s="428"/>
    </row>
    <row r="5" spans="2:19" ht="18" customHeight="1">
      <c r="B5" s="1860"/>
      <c r="C5" s="2047"/>
      <c r="D5" s="2047"/>
      <c r="E5" s="1907"/>
      <c r="F5" s="234" t="s">
        <v>1356</v>
      </c>
      <c r="G5" s="234" t="s">
        <v>306</v>
      </c>
      <c r="H5" s="456" t="s">
        <v>1357</v>
      </c>
      <c r="I5" s="1590" t="s">
        <v>628</v>
      </c>
      <c r="J5" s="1590" t="s">
        <v>1639</v>
      </c>
    </row>
    <row r="6" spans="2:19" ht="15.95" customHeight="1">
      <c r="B6" s="1823" t="s">
        <v>955</v>
      </c>
      <c r="C6" s="2079"/>
      <c r="D6" s="2079"/>
      <c r="E6" s="2079"/>
      <c r="F6" s="74" t="s">
        <v>956</v>
      </c>
      <c r="G6" s="63" t="s">
        <v>957</v>
      </c>
      <c r="H6" s="49" t="s">
        <v>958</v>
      </c>
      <c r="I6" s="63" t="s">
        <v>959</v>
      </c>
      <c r="J6" s="59" t="s">
        <v>961</v>
      </c>
    </row>
    <row r="7" spans="2:19" ht="22.5" customHeight="1">
      <c r="B7" s="644" t="s">
        <v>1489</v>
      </c>
      <c r="C7" s="2080" t="s">
        <v>1366</v>
      </c>
      <c r="D7" s="2081"/>
      <c r="E7" s="2082"/>
      <c r="F7" s="1593">
        <v>1502</v>
      </c>
      <c r="G7" s="92">
        <v>1501</v>
      </c>
      <c r="H7" s="92">
        <v>1502</v>
      </c>
      <c r="I7" s="92">
        <v>1500</v>
      </c>
      <c r="J7" s="92">
        <v>1499</v>
      </c>
    </row>
    <row r="8" spans="2:19" ht="22.5" customHeight="1">
      <c r="B8" s="644" t="s">
        <v>1490</v>
      </c>
      <c r="C8" s="2065" t="s">
        <v>1291</v>
      </c>
      <c r="D8" s="2066"/>
      <c r="E8" s="2067"/>
      <c r="F8" s="1593">
        <v>153</v>
      </c>
      <c r="G8" s="1610">
        <v>153</v>
      </c>
      <c r="H8" s="1610">
        <v>153</v>
      </c>
      <c r="I8" s="1610">
        <v>153</v>
      </c>
      <c r="J8" s="110">
        <v>153</v>
      </c>
    </row>
    <row r="9" spans="2:19" ht="22.5" customHeight="1">
      <c r="B9" s="644" t="s">
        <v>1491</v>
      </c>
      <c r="C9" s="2065" t="s">
        <v>1375</v>
      </c>
      <c r="D9" s="2066"/>
      <c r="E9" s="2067"/>
      <c r="F9" s="144" t="s">
        <v>1384</v>
      </c>
      <c r="G9" s="145" t="s">
        <v>1384</v>
      </c>
      <c r="H9" s="145" t="s">
        <v>1384</v>
      </c>
      <c r="I9" s="145" t="s">
        <v>1384</v>
      </c>
      <c r="J9" s="145" t="s">
        <v>1384</v>
      </c>
    </row>
    <row r="10" spans="2:19" ht="22.5" customHeight="1">
      <c r="B10" s="644" t="s">
        <v>1492</v>
      </c>
      <c r="C10" s="2065" t="s">
        <v>163</v>
      </c>
      <c r="D10" s="2066"/>
      <c r="E10" s="2067"/>
      <c r="F10" s="1593">
        <v>2</v>
      </c>
      <c r="G10" s="1610">
        <v>2</v>
      </c>
      <c r="H10" s="1610">
        <v>2</v>
      </c>
      <c r="I10" s="1610">
        <v>2</v>
      </c>
      <c r="J10" s="110">
        <v>2</v>
      </c>
    </row>
    <row r="11" spans="2:19" ht="22.5" customHeight="1">
      <c r="B11" s="644" t="s">
        <v>1493</v>
      </c>
      <c r="C11" s="2065" t="s">
        <v>1606</v>
      </c>
      <c r="D11" s="2066"/>
      <c r="E11" s="2067"/>
      <c r="F11" s="1593">
        <v>241</v>
      </c>
      <c r="G11" s="1610">
        <v>243</v>
      </c>
      <c r="H11" s="1610">
        <v>243</v>
      </c>
      <c r="I11" s="1610">
        <v>243</v>
      </c>
      <c r="J11" s="110">
        <v>243</v>
      </c>
    </row>
    <row r="12" spans="2:19" ht="22.5" customHeight="1">
      <c r="B12" s="644" t="s">
        <v>1494</v>
      </c>
      <c r="C12" s="2065" t="s">
        <v>1376</v>
      </c>
      <c r="D12" s="2066"/>
      <c r="E12" s="2067"/>
      <c r="F12" s="144" t="s">
        <v>1384</v>
      </c>
      <c r="G12" s="145" t="s">
        <v>1384</v>
      </c>
      <c r="H12" s="145" t="s">
        <v>1384</v>
      </c>
      <c r="I12" s="145" t="s">
        <v>1384</v>
      </c>
      <c r="J12" s="145" t="s">
        <v>1384</v>
      </c>
    </row>
    <row r="13" spans="2:19" ht="22.5" customHeight="1">
      <c r="B13" s="751" t="s">
        <v>1495</v>
      </c>
      <c r="C13" s="2074" t="s">
        <v>606</v>
      </c>
      <c r="D13" s="2075"/>
      <c r="E13" s="2076"/>
      <c r="F13" s="1593">
        <v>10</v>
      </c>
      <c r="G13" s="1610">
        <v>10</v>
      </c>
      <c r="H13" s="1610">
        <v>10</v>
      </c>
      <c r="I13" s="1610">
        <v>10</v>
      </c>
      <c r="J13" s="110">
        <v>7</v>
      </c>
    </row>
    <row r="14" spans="2:19" ht="22.5" customHeight="1">
      <c r="B14" s="644" t="s">
        <v>1496</v>
      </c>
      <c r="C14" s="2065" t="s">
        <v>1377</v>
      </c>
      <c r="D14" s="2066"/>
      <c r="E14" s="2067"/>
      <c r="F14" s="144" t="s">
        <v>1384</v>
      </c>
      <c r="G14" s="145" t="s">
        <v>1384</v>
      </c>
      <c r="H14" s="145" t="s">
        <v>1384</v>
      </c>
      <c r="I14" s="145" t="s">
        <v>1384</v>
      </c>
      <c r="J14" s="145" t="s">
        <v>1384</v>
      </c>
    </row>
    <row r="15" spans="2:19" ht="22.5" customHeight="1">
      <c r="B15" s="644" t="s">
        <v>171</v>
      </c>
      <c r="C15" s="2065" t="s">
        <v>1378</v>
      </c>
      <c r="D15" s="2066"/>
      <c r="E15" s="2067"/>
      <c r="F15" s="1593">
        <v>5683</v>
      </c>
      <c r="G15" s="1610">
        <v>5683</v>
      </c>
      <c r="H15" s="1610">
        <v>5736</v>
      </c>
      <c r="I15" s="1610">
        <v>6067</v>
      </c>
      <c r="J15" s="110">
        <v>6065</v>
      </c>
    </row>
    <row r="16" spans="2:19" ht="22.5" customHeight="1">
      <c r="B16" s="644" t="s">
        <v>172</v>
      </c>
      <c r="C16" s="2065" t="s">
        <v>1379</v>
      </c>
      <c r="D16" s="2066"/>
      <c r="E16" s="2067"/>
      <c r="F16" s="1593">
        <v>5</v>
      </c>
      <c r="G16" s="1610">
        <v>5</v>
      </c>
      <c r="H16" s="1610">
        <v>5</v>
      </c>
      <c r="I16" s="1610">
        <v>5</v>
      </c>
      <c r="J16" s="110">
        <v>5</v>
      </c>
    </row>
    <row r="17" spans="2:10" ht="40.5" customHeight="1">
      <c r="B17" s="751" t="s">
        <v>173</v>
      </c>
      <c r="C17" s="2068" t="s">
        <v>607</v>
      </c>
      <c r="D17" s="2069"/>
      <c r="E17" s="2070"/>
      <c r="F17" s="146" t="s">
        <v>1384</v>
      </c>
      <c r="G17" s="146" t="s">
        <v>1384</v>
      </c>
      <c r="H17" s="146" t="s">
        <v>1384</v>
      </c>
      <c r="I17" s="146" t="s">
        <v>1384</v>
      </c>
      <c r="J17" s="146" t="s">
        <v>1384</v>
      </c>
    </row>
    <row r="18" spans="2:10" ht="22.5" customHeight="1">
      <c r="B18" s="644" t="s">
        <v>174</v>
      </c>
      <c r="C18" s="2071" t="s">
        <v>73</v>
      </c>
      <c r="D18" s="2072"/>
      <c r="E18" s="2073"/>
      <c r="F18" s="144" t="s">
        <v>1384</v>
      </c>
      <c r="G18" s="814" t="s">
        <v>1384</v>
      </c>
      <c r="H18" s="587" t="s">
        <v>1384</v>
      </c>
      <c r="I18" s="587" t="s">
        <v>1384</v>
      </c>
      <c r="J18" s="587" t="s">
        <v>1384</v>
      </c>
    </row>
    <row r="19" spans="2:10" ht="20.100000000000001" customHeight="1">
      <c r="B19" s="119"/>
      <c r="C19" s="2077" t="s">
        <v>979</v>
      </c>
      <c r="D19" s="2077"/>
      <c r="E19" s="1947"/>
      <c r="F19" s="1595">
        <f>SUM(F7:F18)</f>
        <v>7596</v>
      </c>
      <c r="G19" s="1595">
        <f>SUM(G7:G18)</f>
        <v>7597</v>
      </c>
      <c r="H19" s="1595">
        <f>SUM(H7:H18)</f>
        <v>7651</v>
      </c>
      <c r="I19" s="1595">
        <f>SUM(I7:I18)</f>
        <v>7980</v>
      </c>
      <c r="J19" s="139">
        <f>SUM(J7:J18)</f>
        <v>7974</v>
      </c>
    </row>
    <row r="20" spans="2:10" ht="12.75" customHeight="1">
      <c r="B20" s="62"/>
      <c r="C20" s="62"/>
      <c r="D20" s="62"/>
      <c r="E20" s="62"/>
      <c r="G20" s="1059" t="s">
        <v>1525</v>
      </c>
      <c r="H20" s="1060" t="s">
        <v>1380</v>
      </c>
      <c r="I20" s="1060"/>
      <c r="J20" s="1060"/>
    </row>
    <row r="21" spans="2:10" ht="12.75" customHeight="1">
      <c r="B21" s="62"/>
      <c r="C21" s="62"/>
      <c r="D21" s="62"/>
      <c r="E21" s="62"/>
      <c r="F21" s="320"/>
      <c r="G21" s="1041"/>
      <c r="H21" s="1060" t="s">
        <v>1381</v>
      </c>
      <c r="I21" s="1060"/>
      <c r="J21" s="1060"/>
    </row>
    <row r="22" spans="2:10" ht="12.75" customHeight="1">
      <c r="B22" s="62"/>
      <c r="C22" s="62"/>
      <c r="D22" s="62"/>
      <c r="E22" s="62"/>
      <c r="F22" s="320"/>
      <c r="G22" s="1041"/>
      <c r="H22" s="1061" t="s">
        <v>1187</v>
      </c>
      <c r="I22" s="1061"/>
      <c r="J22" s="1061"/>
    </row>
    <row r="23" spans="2:10" ht="12.75" customHeight="1">
      <c r="B23" s="62"/>
      <c r="C23" s="62"/>
      <c r="D23" s="62"/>
      <c r="E23" s="62"/>
      <c r="F23" s="320"/>
      <c r="G23" s="1041"/>
      <c r="H23" s="1060" t="s">
        <v>1382</v>
      </c>
      <c r="I23" s="1060"/>
      <c r="J23" s="1060"/>
    </row>
    <row r="24" spans="2:10" ht="12.75" customHeight="1">
      <c r="B24" s="62"/>
      <c r="C24" s="62"/>
      <c r="D24" s="62"/>
      <c r="E24" s="62"/>
      <c r="F24" s="320"/>
      <c r="G24" s="1041"/>
      <c r="H24" s="1060" t="s">
        <v>103</v>
      </c>
      <c r="I24" s="1060"/>
      <c r="J24" s="1060"/>
    </row>
    <row r="25" spans="2:10" ht="12.75" customHeight="1">
      <c r="B25" s="62"/>
      <c r="C25" s="62"/>
      <c r="D25" s="62"/>
      <c r="E25" s="62"/>
      <c r="F25" s="320"/>
      <c r="G25" s="1041"/>
      <c r="H25" s="1060" t="s">
        <v>1318</v>
      </c>
      <c r="I25" s="1060"/>
      <c r="J25" s="1060"/>
    </row>
    <row r="26" spans="2:10" ht="12.75" customHeight="1">
      <c r="B26" s="62"/>
      <c r="C26" s="62"/>
      <c r="D26" s="62"/>
      <c r="E26" s="62"/>
      <c r="F26" s="320"/>
      <c r="G26" s="1041"/>
      <c r="H26" s="2064" t="s">
        <v>1407</v>
      </c>
      <c r="I26" s="2064"/>
      <c r="J26" s="2064"/>
    </row>
    <row r="27" spans="2:10" ht="12.75" customHeight="1">
      <c r="B27" s="62"/>
      <c r="C27" s="62"/>
      <c r="D27" s="62"/>
      <c r="E27" s="62"/>
      <c r="F27" s="320"/>
      <c r="G27" s="1041"/>
      <c r="H27" s="1060" t="s">
        <v>142</v>
      </c>
      <c r="I27" s="1060"/>
      <c r="J27" s="1060"/>
    </row>
    <row r="28" spans="2:10">
      <c r="B28" s="62"/>
      <c r="C28" s="62"/>
      <c r="D28" s="62"/>
      <c r="E28" s="62"/>
      <c r="F28" s="62"/>
      <c r="J28" s="62"/>
    </row>
    <row r="29" spans="2:10">
      <c r="B29" s="62"/>
      <c r="C29" s="62"/>
      <c r="D29" s="62"/>
      <c r="E29" s="62"/>
      <c r="F29" s="62"/>
      <c r="G29" s="62"/>
      <c r="H29" s="62"/>
      <c r="I29" s="62"/>
      <c r="J29" s="62"/>
    </row>
    <row r="30" spans="2:10">
      <c r="B30" s="62"/>
      <c r="C30" s="62"/>
      <c r="D30" s="62"/>
      <c r="E30" s="62"/>
      <c r="F30" s="62"/>
      <c r="G30" s="62"/>
      <c r="H30" s="62"/>
      <c r="I30" s="62"/>
      <c r="J30" s="62"/>
    </row>
    <row r="31" spans="2:10">
      <c r="B31" s="62"/>
      <c r="C31" s="62"/>
      <c r="D31" s="62"/>
      <c r="E31" s="62"/>
      <c r="F31" s="62"/>
      <c r="G31" s="62"/>
      <c r="H31" s="62"/>
      <c r="I31" s="62"/>
      <c r="J31" s="62"/>
    </row>
    <row r="32" spans="2:10">
      <c r="B32" s="62"/>
      <c r="C32" s="62"/>
      <c r="D32" s="62"/>
      <c r="E32" s="62"/>
      <c r="F32" s="62"/>
      <c r="G32" s="62"/>
      <c r="H32" s="62"/>
      <c r="I32" s="62"/>
      <c r="J32" s="62"/>
    </row>
    <row r="33" spans="2:11">
      <c r="B33" s="62"/>
      <c r="C33" s="62"/>
      <c r="D33" s="62"/>
      <c r="E33" s="62"/>
      <c r="F33" s="62"/>
      <c r="G33" s="62"/>
      <c r="H33" s="62"/>
      <c r="I33" s="62"/>
      <c r="J33" s="62"/>
    </row>
    <row r="34" spans="2:11">
      <c r="B34" s="62"/>
      <c r="C34" s="62"/>
      <c r="D34" s="62"/>
      <c r="E34" s="62"/>
      <c r="F34" s="62"/>
      <c r="G34" s="62"/>
      <c r="H34" s="62"/>
      <c r="I34" s="62"/>
      <c r="J34" s="62"/>
    </row>
    <row r="35" spans="2:11">
      <c r="B35" s="62"/>
      <c r="C35" s="62"/>
      <c r="D35" s="62"/>
      <c r="E35" s="62"/>
      <c r="F35" s="62"/>
      <c r="G35" s="62"/>
      <c r="H35" s="62"/>
      <c r="I35" s="62"/>
      <c r="J35" s="62"/>
    </row>
    <row r="43" spans="2:11">
      <c r="B43" s="1"/>
      <c r="C43" s="1"/>
      <c r="D43" s="1"/>
      <c r="E43" s="1"/>
      <c r="F43" s="1"/>
      <c r="G43" s="1"/>
      <c r="H43" s="1"/>
      <c r="I43" s="1"/>
      <c r="J43" s="1"/>
    </row>
    <row r="45" spans="2:11">
      <c r="B45" s="1"/>
      <c r="C45" s="2"/>
      <c r="D45" s="2"/>
      <c r="E45" s="2"/>
      <c r="F45" s="2"/>
      <c r="G45" s="2"/>
      <c r="H45" s="2"/>
      <c r="I45" s="2"/>
      <c r="J45" s="2"/>
    </row>
    <row r="47" spans="2:11">
      <c r="C47" s="1"/>
      <c r="D47" s="1"/>
      <c r="E47" s="1"/>
      <c r="F47" s="1"/>
      <c r="G47" s="1"/>
      <c r="H47" s="1"/>
      <c r="I47" s="1"/>
      <c r="J47" s="1"/>
      <c r="K47" s="1"/>
    </row>
  </sheetData>
  <mergeCells count="19">
    <mergeCell ref="C1:J1"/>
    <mergeCell ref="C10:E10"/>
    <mergeCell ref="C11:E11"/>
    <mergeCell ref="C12:E12"/>
    <mergeCell ref="B2:J2"/>
    <mergeCell ref="B6:E6"/>
    <mergeCell ref="C7:E7"/>
    <mergeCell ref="F4:J4"/>
    <mergeCell ref="B4:E5"/>
    <mergeCell ref="H26:J26"/>
    <mergeCell ref="C9:E9"/>
    <mergeCell ref="C8:E8"/>
    <mergeCell ref="C17:E17"/>
    <mergeCell ref="C18:E18"/>
    <mergeCell ref="C13:E13"/>
    <mergeCell ref="C14:E14"/>
    <mergeCell ref="C15:E15"/>
    <mergeCell ref="C16:E16"/>
    <mergeCell ref="C19:E19"/>
  </mergeCells>
  <phoneticPr fontId="0" type="noConversion"/>
  <pageMargins left="0.1" right="0.1" top="0.85" bottom="0.1" header="0.5" footer="0.1"/>
  <pageSetup paperSize="9" orientation="landscape" blackAndWhite="1" r:id="rId1"/>
  <headerFooter alignWithMargins="0"/>
</worksheet>
</file>

<file path=xl/worksheets/sheet31.xml><?xml version="1.0" encoding="utf-8"?>
<worksheet xmlns="http://schemas.openxmlformats.org/spreadsheetml/2006/main" xmlns:r="http://schemas.openxmlformats.org/officeDocument/2006/relationships">
  <sheetPr codeName="Sheet29"/>
  <dimension ref="A1:Y45"/>
  <sheetViews>
    <sheetView workbookViewId="0">
      <selection activeCell="M30" sqref="M30:N31"/>
    </sheetView>
  </sheetViews>
  <sheetFormatPr defaultRowHeight="12.75"/>
  <cols>
    <col min="1" max="1" width="2" customWidth="1"/>
    <col min="2" max="2" width="2.85546875" customWidth="1"/>
    <col min="3" max="3" width="2" customWidth="1"/>
    <col min="4" max="4" width="47.5703125" customWidth="1"/>
    <col min="5" max="13" width="8.28515625" customWidth="1"/>
    <col min="14" max="14" width="9" customWidth="1"/>
  </cols>
  <sheetData>
    <row r="1" spans="1:25" ht="13.5" customHeight="1">
      <c r="A1" s="1825" t="s">
        <v>773</v>
      </c>
      <c r="B1" s="1825"/>
      <c r="C1" s="1825"/>
      <c r="D1" s="1825"/>
      <c r="E1" s="1825"/>
      <c r="F1" s="1825"/>
      <c r="G1" s="1825"/>
      <c r="H1" s="1825"/>
      <c r="I1" s="1825"/>
      <c r="J1" s="1825"/>
      <c r="K1" s="1825"/>
      <c r="L1" s="1825"/>
      <c r="M1" s="1825"/>
      <c r="N1" s="1825"/>
    </row>
    <row r="2" spans="1:25" ht="15" customHeight="1">
      <c r="A2" s="2078" t="str">
        <f>CONCATENATE(" Students by sex in different type of General Educational Institutions in the district of ",District!A1)</f>
        <v xml:space="preserve"> Students by sex in different type of General Educational Institutions in the district of Purba Medinipur</v>
      </c>
      <c r="B2" s="2078"/>
      <c r="C2" s="2078"/>
      <c r="D2" s="2078"/>
      <c r="E2" s="2078"/>
      <c r="F2" s="2078"/>
      <c r="G2" s="2078"/>
      <c r="H2" s="2078"/>
      <c r="I2" s="2078"/>
      <c r="J2" s="2078"/>
      <c r="K2" s="2078"/>
      <c r="L2" s="2078"/>
      <c r="M2" s="2078"/>
      <c r="N2" s="2078"/>
    </row>
    <row r="3" spans="1:25" ht="11.25" customHeight="1">
      <c r="A3" s="7"/>
      <c r="B3" s="7"/>
      <c r="C3" s="7"/>
      <c r="D3" s="7"/>
      <c r="E3" s="345"/>
      <c r="F3" s="345"/>
      <c r="G3" s="345"/>
      <c r="H3" s="345"/>
      <c r="I3" s="345"/>
      <c r="J3" s="345"/>
      <c r="K3" s="345"/>
      <c r="L3" s="345"/>
      <c r="M3" s="345"/>
      <c r="N3" s="204" t="s">
        <v>1001</v>
      </c>
    </row>
    <row r="4" spans="1:25" ht="13.5" customHeight="1">
      <c r="A4" s="1929" t="s">
        <v>436</v>
      </c>
      <c r="B4" s="1930"/>
      <c r="C4" s="1930"/>
      <c r="D4" s="1931"/>
      <c r="E4" s="2048" t="s">
        <v>899</v>
      </c>
      <c r="F4" s="2049"/>
      <c r="G4" s="2049"/>
      <c r="H4" s="2049"/>
      <c r="I4" s="2049"/>
      <c r="J4" s="2049"/>
      <c r="K4" s="2049"/>
      <c r="L4" s="2049"/>
      <c r="M4" s="2049"/>
      <c r="N4" s="2050"/>
    </row>
    <row r="5" spans="1:25" ht="12.75" customHeight="1">
      <c r="A5" s="1934"/>
      <c r="B5" s="1935"/>
      <c r="C5" s="1935"/>
      <c r="D5" s="1867"/>
      <c r="E5" s="1829" t="s">
        <v>1688</v>
      </c>
      <c r="F5" s="1828"/>
      <c r="G5" s="1829" t="s">
        <v>1047</v>
      </c>
      <c r="H5" s="1828"/>
      <c r="I5" s="1829" t="s">
        <v>629</v>
      </c>
      <c r="J5" s="1828"/>
      <c r="K5" s="1829" t="s">
        <v>1689</v>
      </c>
      <c r="L5" s="1828"/>
      <c r="M5" s="1829" t="s">
        <v>1639</v>
      </c>
      <c r="N5" s="1828"/>
    </row>
    <row r="6" spans="1:25">
      <c r="A6" s="1932"/>
      <c r="B6" s="1933"/>
      <c r="C6" s="1933"/>
      <c r="D6" s="1868"/>
      <c r="E6" s="169" t="s">
        <v>1040</v>
      </c>
      <c r="F6" s="170" t="s">
        <v>1041</v>
      </c>
      <c r="G6" s="183" t="s">
        <v>1040</v>
      </c>
      <c r="H6" s="159" t="s">
        <v>1041</v>
      </c>
      <c r="I6" s="183" t="s">
        <v>1040</v>
      </c>
      <c r="J6" s="159" t="s">
        <v>1041</v>
      </c>
      <c r="K6" s="158" t="s">
        <v>1040</v>
      </c>
      <c r="L6" s="159" t="s">
        <v>1041</v>
      </c>
      <c r="M6" s="183" t="s">
        <v>1040</v>
      </c>
      <c r="N6" s="159" t="s">
        <v>1041</v>
      </c>
    </row>
    <row r="7" spans="1:25">
      <c r="A7" s="2051" t="s">
        <v>955</v>
      </c>
      <c r="B7" s="2052"/>
      <c r="C7" s="2052"/>
      <c r="D7" s="2053"/>
      <c r="E7" s="53" t="s">
        <v>956</v>
      </c>
      <c r="F7" s="30" t="s">
        <v>957</v>
      </c>
      <c r="G7" s="392" t="s">
        <v>958</v>
      </c>
      <c r="H7" s="30" t="s">
        <v>959</v>
      </c>
      <c r="I7" s="361" t="s">
        <v>961</v>
      </c>
      <c r="J7" s="30" t="s">
        <v>962</v>
      </c>
      <c r="K7" s="53" t="s">
        <v>990</v>
      </c>
      <c r="L7" s="30" t="s">
        <v>991</v>
      </c>
      <c r="M7" s="53" t="s">
        <v>992</v>
      </c>
      <c r="N7" s="30" t="s">
        <v>993</v>
      </c>
    </row>
    <row r="8" spans="1:25">
      <c r="A8" s="745" t="s">
        <v>1489</v>
      </c>
      <c r="B8" s="2033" t="s">
        <v>832</v>
      </c>
      <c r="C8" s="2034"/>
      <c r="D8" s="2035"/>
      <c r="E8" s="1596">
        <f t="shared" ref="E8:J8" si="0">SUM(E9,E14,E19,E24)</f>
        <v>457266</v>
      </c>
      <c r="F8" s="253">
        <f t="shared" si="0"/>
        <v>391647</v>
      </c>
      <c r="G8" s="1596">
        <f t="shared" si="0"/>
        <v>454424</v>
      </c>
      <c r="H8" s="253">
        <f t="shared" si="0"/>
        <v>429232</v>
      </c>
      <c r="I8" s="1596">
        <f t="shared" si="0"/>
        <v>452140</v>
      </c>
      <c r="J8" s="253">
        <f t="shared" si="0"/>
        <v>428351</v>
      </c>
      <c r="K8" s="1596">
        <f>SUM(K9,K14,K19,K24)</f>
        <v>445917</v>
      </c>
      <c r="L8" s="253">
        <f>SUM(L9,L14,L19,L24)</f>
        <v>416715</v>
      </c>
      <c r="M8" s="355">
        <f>SUM(M9,M14,M19,M24)</f>
        <v>455281</v>
      </c>
      <c r="N8" s="253">
        <f>SUM(N9,N14,N19,N24)</f>
        <v>422523</v>
      </c>
      <c r="P8" s="1626"/>
      <c r="Q8" s="1623"/>
      <c r="R8" s="1620"/>
      <c r="S8" s="1620"/>
      <c r="T8" s="1620"/>
      <c r="U8" s="1620"/>
      <c r="V8" s="1620"/>
      <c r="W8" s="1620"/>
      <c r="X8" s="1620"/>
      <c r="Y8" s="1620"/>
    </row>
    <row r="9" spans="1:25" ht="25.5" customHeight="1">
      <c r="A9" s="34"/>
      <c r="B9" s="862" t="s">
        <v>1313</v>
      </c>
      <c r="C9" s="2041" t="s">
        <v>1189</v>
      </c>
      <c r="D9" s="2042"/>
      <c r="E9" s="326">
        <f t="shared" ref="E9:H9" si="1">IF(SUM(E10:E13)=0,"-",SUM(E10:E13))</f>
        <v>159373</v>
      </c>
      <c r="F9" s="326">
        <f t="shared" si="1"/>
        <v>155473</v>
      </c>
      <c r="G9" s="318">
        <f t="shared" si="1"/>
        <v>157859</v>
      </c>
      <c r="H9" s="310">
        <f t="shared" si="1"/>
        <v>154880</v>
      </c>
      <c r="I9" s="318">
        <f t="shared" ref="I9:N9" si="2">IF(SUM(I10:I13)=0,"-",SUM(I10:I13))</f>
        <v>141481</v>
      </c>
      <c r="J9" s="310">
        <f t="shared" si="2"/>
        <v>141390</v>
      </c>
      <c r="K9" s="318">
        <f t="shared" si="2"/>
        <v>111134</v>
      </c>
      <c r="L9" s="310">
        <f t="shared" si="2"/>
        <v>109693</v>
      </c>
      <c r="M9" s="318">
        <f t="shared" si="2"/>
        <v>110633</v>
      </c>
      <c r="N9" s="310">
        <f t="shared" si="2"/>
        <v>109161</v>
      </c>
      <c r="P9" s="1626"/>
      <c r="Q9" s="1623"/>
    </row>
    <row r="10" spans="1:25">
      <c r="A10" s="34"/>
      <c r="B10" s="34"/>
      <c r="C10" s="7"/>
      <c r="D10" s="224" t="s">
        <v>1309</v>
      </c>
      <c r="E10" s="96">
        <v>159373</v>
      </c>
      <c r="F10" s="96">
        <v>155473</v>
      </c>
      <c r="G10" s="97">
        <v>157859</v>
      </c>
      <c r="H10" s="98">
        <v>154880</v>
      </c>
      <c r="I10" s="97">
        <v>141481</v>
      </c>
      <c r="J10" s="98">
        <v>141390</v>
      </c>
      <c r="K10" s="97">
        <v>111134</v>
      </c>
      <c r="L10" s="98">
        <v>109693</v>
      </c>
      <c r="M10" s="97">
        <v>110633</v>
      </c>
      <c r="N10" s="98">
        <v>109161</v>
      </c>
      <c r="P10" s="1626"/>
      <c r="Q10" s="1623"/>
    </row>
    <row r="11" spans="1:25">
      <c r="A11" s="34"/>
      <c r="B11" s="34"/>
      <c r="C11" s="7"/>
      <c r="D11" s="224" t="s">
        <v>1310</v>
      </c>
      <c r="E11" s="817" t="s">
        <v>1384</v>
      </c>
      <c r="F11" s="817" t="s">
        <v>1384</v>
      </c>
      <c r="G11" s="446" t="s">
        <v>1384</v>
      </c>
      <c r="H11" s="447" t="s">
        <v>1384</v>
      </c>
      <c r="I11" s="446" t="s">
        <v>1384</v>
      </c>
      <c r="J11" s="447" t="s">
        <v>1384</v>
      </c>
      <c r="K11" s="446" t="s">
        <v>1384</v>
      </c>
      <c r="L11" s="447" t="s">
        <v>1384</v>
      </c>
      <c r="M11" s="446" t="s">
        <v>1384</v>
      </c>
      <c r="N11" s="447" t="s">
        <v>1384</v>
      </c>
      <c r="P11" s="1626"/>
      <c r="Q11" s="1623"/>
    </row>
    <row r="12" spans="1:25">
      <c r="A12" s="34"/>
      <c r="B12" s="34"/>
      <c r="C12" s="7"/>
      <c r="D12" s="224" t="s">
        <v>1319</v>
      </c>
      <c r="E12" s="817" t="s">
        <v>1384</v>
      </c>
      <c r="F12" s="817" t="s">
        <v>1384</v>
      </c>
      <c r="G12" s="446" t="s">
        <v>1384</v>
      </c>
      <c r="H12" s="447" t="s">
        <v>1384</v>
      </c>
      <c r="I12" s="446" t="s">
        <v>1384</v>
      </c>
      <c r="J12" s="447" t="s">
        <v>1384</v>
      </c>
      <c r="K12" s="446" t="s">
        <v>1384</v>
      </c>
      <c r="L12" s="447" t="s">
        <v>1384</v>
      </c>
      <c r="M12" s="446" t="s">
        <v>1384</v>
      </c>
      <c r="N12" s="447" t="s">
        <v>1384</v>
      </c>
      <c r="P12" s="1626"/>
      <c r="Q12" s="1623"/>
    </row>
    <row r="13" spans="1:25">
      <c r="A13" s="34"/>
      <c r="B13" s="34"/>
      <c r="C13" s="7"/>
      <c r="D13" s="224" t="s">
        <v>1037</v>
      </c>
      <c r="E13" s="817" t="s">
        <v>1384</v>
      </c>
      <c r="F13" s="817" t="s">
        <v>1384</v>
      </c>
      <c r="G13" s="446" t="s">
        <v>1384</v>
      </c>
      <c r="H13" s="447" t="s">
        <v>1384</v>
      </c>
      <c r="I13" s="446" t="s">
        <v>1384</v>
      </c>
      <c r="J13" s="447" t="s">
        <v>1384</v>
      </c>
      <c r="K13" s="446" t="s">
        <v>1384</v>
      </c>
      <c r="L13" s="447" t="s">
        <v>1384</v>
      </c>
      <c r="M13" s="446" t="s">
        <v>1384</v>
      </c>
      <c r="N13" s="447" t="s">
        <v>1384</v>
      </c>
      <c r="P13" s="1626"/>
      <c r="Q13" s="1623"/>
    </row>
    <row r="14" spans="1:25" ht="25.5" customHeight="1">
      <c r="A14" s="34"/>
      <c r="B14" s="862" t="s">
        <v>1311</v>
      </c>
      <c r="C14" s="2039" t="s">
        <v>1190</v>
      </c>
      <c r="D14" s="2040"/>
      <c r="E14" s="326">
        <v>9185</v>
      </c>
      <c r="F14" s="326">
        <f t="shared" ref="F14:H14" si="3">IF(SUM(F15:F18)=0,"-",SUM(F15:F18))</f>
        <v>10716</v>
      </c>
      <c r="G14" s="318">
        <f t="shared" si="3"/>
        <v>7670</v>
      </c>
      <c r="H14" s="310">
        <f t="shared" si="3"/>
        <v>9815</v>
      </c>
      <c r="I14" s="318">
        <v>8198</v>
      </c>
      <c r="J14" s="310">
        <f t="shared" ref="J14:N14" si="4">IF(SUM(J15:J18)=0,"-",SUM(J15:J18))</f>
        <v>10068</v>
      </c>
      <c r="K14" s="318">
        <f t="shared" si="4"/>
        <v>16277</v>
      </c>
      <c r="L14" s="310">
        <v>15995</v>
      </c>
      <c r="M14" s="318">
        <f t="shared" si="4"/>
        <v>16960</v>
      </c>
      <c r="N14" s="310">
        <f t="shared" si="4"/>
        <v>16005</v>
      </c>
      <c r="P14" s="1626"/>
      <c r="Q14" s="1623"/>
    </row>
    <row r="15" spans="1:25">
      <c r="A15" s="34"/>
      <c r="B15" s="34"/>
      <c r="C15" s="7"/>
      <c r="D15" s="224" t="s">
        <v>158</v>
      </c>
      <c r="E15" s="1786" t="s">
        <v>1730</v>
      </c>
      <c r="F15" s="96">
        <v>10716</v>
      </c>
      <c r="G15" s="97">
        <v>7670</v>
      </c>
      <c r="H15" s="98">
        <v>9815</v>
      </c>
      <c r="I15" s="1787" t="s">
        <v>1731</v>
      </c>
      <c r="J15" s="98">
        <v>10068</v>
      </c>
      <c r="K15" s="97">
        <v>16156</v>
      </c>
      <c r="L15" s="1788" t="s">
        <v>1732</v>
      </c>
      <c r="M15" s="97">
        <v>16827</v>
      </c>
      <c r="N15" s="98">
        <v>15884</v>
      </c>
      <c r="P15" s="1626"/>
      <c r="Q15" s="1623"/>
    </row>
    <row r="16" spans="1:25">
      <c r="A16" s="34"/>
      <c r="B16" s="34"/>
      <c r="C16" s="7"/>
      <c r="D16" s="224" t="s">
        <v>1454</v>
      </c>
      <c r="E16" s="1618" t="s">
        <v>1384</v>
      </c>
      <c r="F16" s="1618" t="s">
        <v>1384</v>
      </c>
      <c r="G16" s="97" t="s">
        <v>1384</v>
      </c>
      <c r="H16" s="98" t="s">
        <v>1384</v>
      </c>
      <c r="I16" s="97" t="s">
        <v>1384</v>
      </c>
      <c r="J16" s="98" t="s">
        <v>1384</v>
      </c>
      <c r="K16" s="97">
        <v>121</v>
      </c>
      <c r="L16" s="98">
        <v>111</v>
      </c>
      <c r="M16" s="97">
        <v>133</v>
      </c>
      <c r="N16" s="98">
        <v>121</v>
      </c>
      <c r="P16" s="1626"/>
      <c r="Q16" s="1623"/>
    </row>
    <row r="17" spans="1:17">
      <c r="A17" s="34"/>
      <c r="B17" s="34"/>
      <c r="C17" s="7"/>
      <c r="D17" s="224" t="s">
        <v>1319</v>
      </c>
      <c r="E17" s="1618" t="s">
        <v>1384</v>
      </c>
      <c r="F17" s="1618" t="s">
        <v>1384</v>
      </c>
      <c r="G17" s="97" t="s">
        <v>1384</v>
      </c>
      <c r="H17" s="98" t="s">
        <v>1384</v>
      </c>
      <c r="I17" s="97" t="s">
        <v>1384</v>
      </c>
      <c r="J17" s="98" t="s">
        <v>1384</v>
      </c>
      <c r="K17" s="97" t="s">
        <v>1384</v>
      </c>
      <c r="L17" s="98" t="s">
        <v>1384</v>
      </c>
      <c r="M17" s="97" t="s">
        <v>1384</v>
      </c>
      <c r="N17" s="98" t="s">
        <v>1384</v>
      </c>
      <c r="P17" s="1626"/>
      <c r="Q17" s="1623"/>
    </row>
    <row r="18" spans="1:17">
      <c r="A18" s="34"/>
      <c r="B18" s="34"/>
      <c r="C18" s="7"/>
      <c r="D18" s="224" t="s">
        <v>1037</v>
      </c>
      <c r="E18" s="1618" t="s">
        <v>1384</v>
      </c>
      <c r="F18" s="1618" t="s">
        <v>1384</v>
      </c>
      <c r="G18" s="97" t="s">
        <v>1384</v>
      </c>
      <c r="H18" s="98" t="s">
        <v>1384</v>
      </c>
      <c r="I18" s="97" t="s">
        <v>1384</v>
      </c>
      <c r="J18" s="98" t="s">
        <v>1384</v>
      </c>
      <c r="K18" s="97" t="s">
        <v>1384</v>
      </c>
      <c r="L18" s="98" t="s">
        <v>1384</v>
      </c>
      <c r="M18" s="97" t="s">
        <v>1384</v>
      </c>
      <c r="N18" s="98" t="s">
        <v>1384</v>
      </c>
      <c r="P18" s="1626"/>
      <c r="Q18" s="1623"/>
    </row>
    <row r="19" spans="1:17" ht="25.5" customHeight="1">
      <c r="A19" s="34"/>
      <c r="B19" s="862" t="s">
        <v>1312</v>
      </c>
      <c r="C19" s="2041" t="s">
        <v>1191</v>
      </c>
      <c r="D19" s="2042"/>
      <c r="E19" s="326">
        <f t="shared" ref="E19:H19" si="5">IF(SUM(E20:E23)=0,"-",SUM(E20:E23))</f>
        <v>136257</v>
      </c>
      <c r="F19" s="326">
        <f t="shared" si="5"/>
        <v>117420</v>
      </c>
      <c r="G19" s="318">
        <f t="shared" si="5"/>
        <v>85606</v>
      </c>
      <c r="H19" s="310">
        <f t="shared" si="5"/>
        <v>89877</v>
      </c>
      <c r="I19" s="318">
        <f t="shared" ref="I19:N19" si="6">IF(SUM(I20:I23)=0,"-",SUM(I20:I23))</f>
        <v>89469</v>
      </c>
      <c r="J19" s="310">
        <f t="shared" si="6"/>
        <v>94239</v>
      </c>
      <c r="K19" s="318">
        <f t="shared" si="6"/>
        <v>80870</v>
      </c>
      <c r="L19" s="310">
        <f t="shared" si="6"/>
        <v>86983</v>
      </c>
      <c r="M19" s="318">
        <f t="shared" si="6"/>
        <v>77373</v>
      </c>
      <c r="N19" s="310">
        <f t="shared" si="6"/>
        <v>81659</v>
      </c>
      <c r="P19" s="1626"/>
      <c r="Q19" s="1623"/>
    </row>
    <row r="20" spans="1:17">
      <c r="A20" s="34"/>
      <c r="B20" s="34"/>
      <c r="C20" s="7"/>
      <c r="D20" s="224" t="s">
        <v>158</v>
      </c>
      <c r="E20" s="96">
        <v>131876</v>
      </c>
      <c r="F20" s="96">
        <v>115789</v>
      </c>
      <c r="G20" s="97">
        <v>83942</v>
      </c>
      <c r="H20" s="98">
        <v>87910</v>
      </c>
      <c r="I20" s="97">
        <v>87621</v>
      </c>
      <c r="J20" s="98">
        <v>92101</v>
      </c>
      <c r="K20" s="97">
        <v>78907</v>
      </c>
      <c r="L20" s="98">
        <v>84723</v>
      </c>
      <c r="M20" s="97">
        <v>75328</v>
      </c>
      <c r="N20" s="98">
        <v>79315</v>
      </c>
      <c r="P20" s="1626"/>
      <c r="Q20" s="1623"/>
    </row>
    <row r="21" spans="1:17">
      <c r="A21" s="34"/>
      <c r="B21" s="34"/>
      <c r="C21" s="7"/>
      <c r="D21" s="224" t="s">
        <v>1455</v>
      </c>
      <c r="E21" s="96">
        <v>3975</v>
      </c>
      <c r="F21" s="96">
        <v>1320</v>
      </c>
      <c r="G21" s="97">
        <v>1246</v>
      </c>
      <c r="H21" s="98">
        <v>1656</v>
      </c>
      <c r="I21" s="97">
        <v>1322</v>
      </c>
      <c r="J21" s="98">
        <v>1736</v>
      </c>
      <c r="K21" s="97">
        <v>1376</v>
      </c>
      <c r="L21" s="98">
        <v>1808</v>
      </c>
      <c r="M21" s="97">
        <v>1439</v>
      </c>
      <c r="N21" s="98">
        <v>1886</v>
      </c>
      <c r="P21" s="1626"/>
      <c r="Q21" s="1623"/>
    </row>
    <row r="22" spans="1:17">
      <c r="A22" s="34"/>
      <c r="B22" s="34"/>
      <c r="C22" s="7"/>
      <c r="D22" s="224" t="s">
        <v>1319</v>
      </c>
      <c r="E22" s="96">
        <v>406</v>
      </c>
      <c r="F22" s="96">
        <v>311</v>
      </c>
      <c r="G22" s="97">
        <v>418</v>
      </c>
      <c r="H22" s="98">
        <v>311</v>
      </c>
      <c r="I22" s="97">
        <v>526</v>
      </c>
      <c r="J22" s="98">
        <v>402</v>
      </c>
      <c r="K22" s="97">
        <v>587</v>
      </c>
      <c r="L22" s="98">
        <v>452</v>
      </c>
      <c r="M22" s="97">
        <v>606</v>
      </c>
      <c r="N22" s="98">
        <v>458</v>
      </c>
      <c r="P22" s="1626"/>
      <c r="Q22" s="1623"/>
    </row>
    <row r="23" spans="1:17">
      <c r="A23" s="34"/>
      <c r="B23" s="34"/>
      <c r="C23" s="7"/>
      <c r="D23" s="224" t="s">
        <v>1037</v>
      </c>
      <c r="E23" s="817" t="s">
        <v>1384</v>
      </c>
      <c r="F23" s="817" t="s">
        <v>1384</v>
      </c>
      <c r="G23" s="446" t="s">
        <v>1384</v>
      </c>
      <c r="H23" s="447" t="s">
        <v>1384</v>
      </c>
      <c r="I23" s="446" t="s">
        <v>1384</v>
      </c>
      <c r="J23" s="447" t="s">
        <v>1384</v>
      </c>
      <c r="K23" s="446" t="s">
        <v>1384</v>
      </c>
      <c r="L23" s="447" t="s">
        <v>1384</v>
      </c>
      <c r="M23" s="446" t="s">
        <v>1384</v>
      </c>
      <c r="N23" s="447" t="s">
        <v>1384</v>
      </c>
      <c r="P23" s="1626"/>
      <c r="Q23" s="1623"/>
    </row>
    <row r="24" spans="1:17" ht="25.5" customHeight="1">
      <c r="A24" s="34"/>
      <c r="B24" s="862" t="s">
        <v>1314</v>
      </c>
      <c r="C24" s="2041" t="s">
        <v>1192</v>
      </c>
      <c r="D24" s="2042"/>
      <c r="E24" s="326">
        <f t="shared" ref="E24:H24" si="7">IF(SUM(E25:E29)=0,"-",SUM(E25:E29))</f>
        <v>152451</v>
      </c>
      <c r="F24" s="326">
        <f t="shared" si="7"/>
        <v>108038</v>
      </c>
      <c r="G24" s="318">
        <f t="shared" si="7"/>
        <v>203289</v>
      </c>
      <c r="H24" s="310">
        <f t="shared" si="7"/>
        <v>174660</v>
      </c>
      <c r="I24" s="318">
        <f t="shared" ref="I24:N24" si="8">IF(SUM(I25:I29)=0,"-",SUM(I25:I29))</f>
        <v>212992</v>
      </c>
      <c r="J24" s="310">
        <f t="shared" si="8"/>
        <v>182654</v>
      </c>
      <c r="K24" s="318">
        <f t="shared" si="8"/>
        <v>237636</v>
      </c>
      <c r="L24" s="310">
        <f t="shared" si="8"/>
        <v>204044</v>
      </c>
      <c r="M24" s="318">
        <f t="shared" si="8"/>
        <v>250315</v>
      </c>
      <c r="N24" s="310">
        <f t="shared" si="8"/>
        <v>215698</v>
      </c>
      <c r="P24" s="1626"/>
      <c r="Q24" s="1623"/>
    </row>
    <row r="25" spans="1:17">
      <c r="A25" s="34"/>
      <c r="B25" s="34"/>
      <c r="C25" s="7"/>
      <c r="D25" s="224" t="s">
        <v>1508</v>
      </c>
      <c r="E25" s="96">
        <v>151146</v>
      </c>
      <c r="F25" s="96">
        <v>107000</v>
      </c>
      <c r="G25" s="97">
        <v>202375</v>
      </c>
      <c r="H25" s="98">
        <v>173540</v>
      </c>
      <c r="I25" s="97">
        <v>211927</v>
      </c>
      <c r="J25" s="98">
        <v>181724</v>
      </c>
      <c r="K25" s="97">
        <v>236520</v>
      </c>
      <c r="L25" s="98">
        <v>203097</v>
      </c>
      <c r="M25" s="97">
        <v>249248</v>
      </c>
      <c r="N25" s="98">
        <v>214752</v>
      </c>
      <c r="P25" s="1626"/>
      <c r="Q25" s="1623"/>
    </row>
    <row r="26" spans="1:17">
      <c r="A26" s="34"/>
      <c r="B26" s="34"/>
      <c r="C26" s="7"/>
      <c r="D26" s="224" t="s">
        <v>1507</v>
      </c>
      <c r="E26" s="96">
        <v>58</v>
      </c>
      <c r="F26" s="1618">
        <v>6</v>
      </c>
      <c r="G26" s="97">
        <v>6</v>
      </c>
      <c r="H26" s="98">
        <v>4</v>
      </c>
      <c r="I26" s="97">
        <v>46</v>
      </c>
      <c r="J26" s="98">
        <v>26</v>
      </c>
      <c r="K26" s="97">
        <v>74</v>
      </c>
      <c r="L26" s="98">
        <v>27</v>
      </c>
      <c r="M26" s="97">
        <v>37</v>
      </c>
      <c r="N26" s="98">
        <v>14</v>
      </c>
      <c r="P26" s="1626"/>
      <c r="Q26" s="1623"/>
    </row>
    <row r="27" spans="1:17">
      <c r="A27" s="34"/>
      <c r="B27" s="34"/>
      <c r="C27" s="7"/>
      <c r="D27" s="224" t="s">
        <v>1319</v>
      </c>
      <c r="E27" s="96">
        <v>591</v>
      </c>
      <c r="F27" s="96">
        <v>796</v>
      </c>
      <c r="G27" s="97">
        <v>608</v>
      </c>
      <c r="H27" s="98">
        <v>813</v>
      </c>
      <c r="I27" s="97">
        <v>700</v>
      </c>
      <c r="J27" s="98">
        <v>581</v>
      </c>
      <c r="K27" s="97">
        <v>702</v>
      </c>
      <c r="L27" s="98">
        <v>580</v>
      </c>
      <c r="M27" s="97">
        <v>674</v>
      </c>
      <c r="N27" s="98">
        <v>575</v>
      </c>
      <c r="P27" s="1626"/>
      <c r="Q27" s="1623"/>
    </row>
    <row r="28" spans="1:17">
      <c r="A28" s="34"/>
      <c r="B28" s="34"/>
      <c r="C28" s="7"/>
      <c r="D28" s="224" t="s">
        <v>1037</v>
      </c>
      <c r="E28" s="817" t="s">
        <v>1384</v>
      </c>
      <c r="F28" s="817" t="s">
        <v>1384</v>
      </c>
      <c r="G28" s="446" t="s">
        <v>1384</v>
      </c>
      <c r="H28" s="447" t="s">
        <v>1384</v>
      </c>
      <c r="I28" s="446" t="s">
        <v>1384</v>
      </c>
      <c r="J28" s="447" t="s">
        <v>1384</v>
      </c>
      <c r="K28" s="446" t="s">
        <v>1384</v>
      </c>
      <c r="L28" s="447" t="s">
        <v>1384</v>
      </c>
      <c r="M28" s="446" t="s">
        <v>1384</v>
      </c>
      <c r="N28" s="447" t="s">
        <v>1384</v>
      </c>
      <c r="P28" s="1626"/>
      <c r="Q28" s="1623"/>
    </row>
    <row r="29" spans="1:17">
      <c r="A29" s="34"/>
      <c r="B29" s="34"/>
      <c r="C29" s="7"/>
      <c r="D29" s="224" t="s">
        <v>1456</v>
      </c>
      <c r="E29" s="96">
        <v>656</v>
      </c>
      <c r="F29" s="1618">
        <v>236</v>
      </c>
      <c r="G29" s="1051">
        <v>300</v>
      </c>
      <c r="H29" s="1052">
        <v>303</v>
      </c>
      <c r="I29" s="1051">
        <v>319</v>
      </c>
      <c r="J29" s="1052">
        <v>323</v>
      </c>
      <c r="K29" s="1051">
        <v>340</v>
      </c>
      <c r="L29" s="1052">
        <v>340</v>
      </c>
      <c r="M29" s="1051">
        <v>356</v>
      </c>
      <c r="N29" s="1052">
        <v>357</v>
      </c>
      <c r="P29" s="1626"/>
      <c r="Q29" s="1623"/>
    </row>
    <row r="30" spans="1:17">
      <c r="A30" s="746" t="s">
        <v>1490</v>
      </c>
      <c r="B30" s="863" t="s">
        <v>833</v>
      </c>
      <c r="C30" s="303"/>
      <c r="D30" s="184"/>
      <c r="E30" s="1596">
        <v>20139</v>
      </c>
      <c r="F30" s="1596">
        <v>13252</v>
      </c>
      <c r="G30" s="316">
        <v>21773</v>
      </c>
      <c r="H30" s="253">
        <v>15375</v>
      </c>
      <c r="I30" s="316">
        <v>25195</v>
      </c>
      <c r="J30" s="253">
        <v>20329</v>
      </c>
      <c r="K30" s="316">
        <v>24563</v>
      </c>
      <c r="L30" s="253">
        <v>21435</v>
      </c>
      <c r="M30" s="316">
        <v>25563</v>
      </c>
      <c r="N30" s="253">
        <v>18678</v>
      </c>
      <c r="P30" s="1626"/>
      <c r="Q30" s="1623"/>
    </row>
    <row r="31" spans="1:17" ht="25.5" customHeight="1">
      <c r="A31" s="747" t="s">
        <v>1491</v>
      </c>
      <c r="B31" s="2083" t="s">
        <v>1317</v>
      </c>
      <c r="C31" s="2084"/>
      <c r="D31" s="2085"/>
      <c r="E31" s="1619" t="s">
        <v>1384</v>
      </c>
      <c r="F31" s="1619" t="s">
        <v>1384</v>
      </c>
      <c r="G31" s="317" t="s">
        <v>1384</v>
      </c>
      <c r="H31" s="307" t="s">
        <v>1384</v>
      </c>
      <c r="I31" s="317" t="s">
        <v>1384</v>
      </c>
      <c r="J31" s="307" t="s">
        <v>1384</v>
      </c>
      <c r="K31" s="317" t="s">
        <v>1384</v>
      </c>
      <c r="L31" s="307" t="s">
        <v>1384</v>
      </c>
      <c r="M31" s="317" t="s">
        <v>1384</v>
      </c>
      <c r="N31" s="307" t="s">
        <v>1384</v>
      </c>
      <c r="P31" s="1626"/>
      <c r="Q31" s="1623"/>
    </row>
    <row r="32" spans="1:17" ht="14.25" customHeight="1">
      <c r="A32" s="748" t="s">
        <v>1492</v>
      </c>
      <c r="B32" s="2056" t="s">
        <v>159</v>
      </c>
      <c r="C32" s="2057"/>
      <c r="D32" s="2058"/>
      <c r="E32" s="308">
        <v>2410</v>
      </c>
      <c r="F32" s="308">
        <v>1475</v>
      </c>
      <c r="G32" s="918">
        <v>2458</v>
      </c>
      <c r="H32" s="309">
        <v>1487</v>
      </c>
      <c r="I32" s="918">
        <v>2447</v>
      </c>
      <c r="J32" s="309">
        <v>1351</v>
      </c>
      <c r="K32" s="918">
        <v>1632</v>
      </c>
      <c r="L32" s="309">
        <v>861</v>
      </c>
      <c r="M32" s="918">
        <v>1683</v>
      </c>
      <c r="N32" s="309">
        <v>1169</v>
      </c>
      <c r="P32" s="1626"/>
      <c r="Q32" s="1623"/>
    </row>
    <row r="33" spans="1:14">
      <c r="A33" s="62"/>
      <c r="B33" s="62"/>
      <c r="C33" s="62"/>
      <c r="D33" s="62"/>
      <c r="E33" s="62"/>
      <c r="F33" s="62"/>
      <c r="I33" s="1059" t="s">
        <v>1276</v>
      </c>
      <c r="J33" s="1060" t="s">
        <v>1059</v>
      </c>
      <c r="K33" s="1060"/>
      <c r="L33" s="320"/>
      <c r="M33" s="320"/>
      <c r="N33" s="62"/>
    </row>
    <row r="34" spans="1:14">
      <c r="A34" s="62"/>
      <c r="B34" s="62"/>
      <c r="C34" s="62"/>
      <c r="D34" s="62"/>
      <c r="E34" s="62"/>
      <c r="F34" s="62"/>
      <c r="I34" s="1060"/>
      <c r="J34" s="1060" t="s">
        <v>1060</v>
      </c>
      <c r="K34" s="1060"/>
      <c r="L34" s="320"/>
      <c r="M34" s="320"/>
      <c r="N34" s="62"/>
    </row>
    <row r="35" spans="1:14">
      <c r="A35" s="62"/>
      <c r="B35" s="62"/>
      <c r="C35" s="62"/>
      <c r="D35" s="62"/>
      <c r="E35" s="62"/>
      <c r="F35" s="62"/>
      <c r="I35" s="1060"/>
      <c r="J35" s="1061" t="s">
        <v>1057</v>
      </c>
      <c r="K35" s="1061"/>
      <c r="L35" s="339"/>
      <c r="M35" s="339"/>
      <c r="N35" s="70"/>
    </row>
    <row r="36" spans="1:14">
      <c r="A36" s="62"/>
      <c r="B36" s="62"/>
      <c r="C36" s="62"/>
      <c r="D36" s="62"/>
      <c r="E36" s="62"/>
      <c r="F36" s="62"/>
      <c r="I36" s="1060"/>
      <c r="J36" s="1061" t="s">
        <v>1061</v>
      </c>
      <c r="K36" s="1061"/>
      <c r="L36" s="339"/>
      <c r="M36" s="339"/>
      <c r="N36" s="70"/>
    </row>
    <row r="37" spans="1:14">
      <c r="A37" s="62"/>
      <c r="B37" s="62"/>
      <c r="C37" s="62"/>
      <c r="D37" s="62"/>
      <c r="E37" s="62"/>
      <c r="F37" s="62"/>
      <c r="I37" s="1060"/>
      <c r="J37" s="1060" t="s">
        <v>1342</v>
      </c>
      <c r="K37" s="1060"/>
      <c r="L37" s="320"/>
      <c r="M37" s="320"/>
      <c r="N37" s="62"/>
    </row>
    <row r="38" spans="1:14">
      <c r="A38" s="62"/>
      <c r="B38" s="62"/>
      <c r="C38" s="62"/>
      <c r="D38" s="62"/>
      <c r="E38" s="62"/>
      <c r="F38" s="62"/>
      <c r="I38" s="1060"/>
      <c r="J38" s="1060" t="s">
        <v>197</v>
      </c>
      <c r="K38" s="1060"/>
      <c r="L38" s="320"/>
      <c r="M38" s="320"/>
      <c r="N38" s="62"/>
    </row>
    <row r="39" spans="1:14">
      <c r="A39" s="62"/>
      <c r="B39" s="62"/>
      <c r="C39" s="62"/>
      <c r="D39" s="62"/>
      <c r="E39" s="62"/>
      <c r="F39" s="62"/>
      <c r="I39" s="1060"/>
      <c r="J39" s="1060" t="s">
        <v>1228</v>
      </c>
      <c r="K39" s="1060"/>
      <c r="L39" s="320"/>
      <c r="M39" s="320"/>
      <c r="N39" s="62"/>
    </row>
    <row r="40" spans="1:14">
      <c r="A40" s="62"/>
      <c r="B40" s="62"/>
      <c r="C40" s="62"/>
      <c r="D40" s="62"/>
      <c r="E40" s="62"/>
      <c r="F40" s="62"/>
      <c r="G40" s="62"/>
      <c r="H40" s="62"/>
      <c r="I40" s="62"/>
      <c r="J40" s="62"/>
      <c r="K40" s="62"/>
      <c r="L40" s="62"/>
      <c r="M40" s="62"/>
      <c r="N40" s="62"/>
    </row>
    <row r="41" spans="1:14">
      <c r="A41" s="62"/>
      <c r="B41" s="62"/>
      <c r="C41" s="62"/>
      <c r="D41" s="62"/>
      <c r="E41" s="62"/>
      <c r="F41" s="62"/>
      <c r="G41" s="62"/>
      <c r="H41" s="62"/>
      <c r="I41" s="62"/>
      <c r="J41" s="62"/>
      <c r="K41" s="62"/>
      <c r="L41" s="62"/>
      <c r="M41" s="62"/>
      <c r="N41" s="62"/>
    </row>
    <row r="42" spans="1:14">
      <c r="A42" s="62"/>
      <c r="B42" s="62"/>
      <c r="C42" s="62"/>
      <c r="D42" s="62"/>
      <c r="E42" s="62"/>
      <c r="F42" s="62"/>
      <c r="G42" s="62"/>
      <c r="H42" s="62"/>
      <c r="I42" s="62"/>
      <c r="J42" s="62"/>
      <c r="K42" s="62"/>
      <c r="L42" s="62"/>
      <c r="M42" s="62"/>
      <c r="N42" s="62"/>
    </row>
    <row r="43" spans="1:14">
      <c r="A43" s="62"/>
      <c r="B43" s="62"/>
      <c r="C43" s="62"/>
      <c r="D43" s="62"/>
      <c r="E43" s="62"/>
      <c r="F43" s="62"/>
      <c r="G43" s="62"/>
      <c r="H43" s="62"/>
      <c r="I43" s="62"/>
      <c r="J43" s="62"/>
      <c r="K43" s="62"/>
      <c r="L43" s="62"/>
      <c r="M43" s="62"/>
      <c r="N43" s="62"/>
    </row>
    <row r="44" spans="1:14">
      <c r="A44" s="62"/>
      <c r="B44" s="62"/>
      <c r="C44" s="62"/>
      <c r="D44" s="62"/>
      <c r="E44" s="62"/>
      <c r="F44" s="62"/>
      <c r="G44" s="62"/>
      <c r="H44" s="62"/>
      <c r="I44" s="62"/>
      <c r="J44" s="62"/>
      <c r="K44" s="62"/>
      <c r="L44" s="62"/>
      <c r="M44" s="62"/>
      <c r="N44" s="62"/>
    </row>
    <row r="45" spans="1:14">
      <c r="A45" s="62"/>
      <c r="B45" s="62"/>
      <c r="C45" s="62"/>
      <c r="D45" s="62"/>
      <c r="E45" s="62"/>
      <c r="F45" s="62"/>
      <c r="G45" s="62"/>
      <c r="H45" s="62"/>
      <c r="I45" s="62"/>
      <c r="J45" s="62"/>
      <c r="K45" s="62"/>
      <c r="L45" s="62"/>
      <c r="M45" s="62"/>
      <c r="N45" s="62"/>
    </row>
  </sheetData>
  <mergeCells count="17">
    <mergeCell ref="B32:D32"/>
    <mergeCell ref="B8:D8"/>
    <mergeCell ref="C9:D9"/>
    <mergeCell ref="C14:D14"/>
    <mergeCell ref="C19:D19"/>
    <mergeCell ref="I5:J5"/>
    <mergeCell ref="M5:N5"/>
    <mergeCell ref="A1:N1"/>
    <mergeCell ref="C24:D24"/>
    <mergeCell ref="B31:D31"/>
    <mergeCell ref="A2:N2"/>
    <mergeCell ref="A7:D7"/>
    <mergeCell ref="A4:D6"/>
    <mergeCell ref="E4:N4"/>
    <mergeCell ref="K5:L5"/>
    <mergeCell ref="E5:F5"/>
    <mergeCell ref="G5:H5"/>
  </mergeCells>
  <phoneticPr fontId="0" type="noConversion"/>
  <printOptions horizontalCentered="1"/>
  <pageMargins left="0.4" right="0.1" top="0.27" bottom="0.1" header="0.5" footer="0.1"/>
  <pageSetup paperSize="9" orientation="landscape" blackAndWhite="1" r:id="rId1"/>
  <headerFooter alignWithMargins="0"/>
</worksheet>
</file>

<file path=xl/worksheets/sheet32.xml><?xml version="1.0" encoding="utf-8"?>
<worksheet xmlns="http://schemas.openxmlformats.org/spreadsheetml/2006/main" xmlns:r="http://schemas.openxmlformats.org/officeDocument/2006/relationships">
  <sheetPr codeName="Sheet30"/>
  <dimension ref="A1:R42"/>
  <sheetViews>
    <sheetView topLeftCell="D7" workbookViewId="0">
      <selection activeCell="M36" sqref="M36:N36"/>
    </sheetView>
  </sheetViews>
  <sheetFormatPr defaultRowHeight="12.75"/>
  <cols>
    <col min="1" max="1" width="2.28515625" customWidth="1"/>
    <col min="2" max="2" width="2.85546875" customWidth="1"/>
    <col min="3" max="3" width="0.28515625" customWidth="1"/>
    <col min="4" max="4" width="55.140625" customWidth="1"/>
    <col min="5" max="5" width="6.7109375" customWidth="1"/>
    <col min="6" max="6" width="7.7109375" customWidth="1"/>
    <col min="7" max="7" width="6.140625" customWidth="1"/>
    <col min="8" max="8" width="7.7109375" customWidth="1"/>
    <col min="9" max="9" width="5.7109375" customWidth="1"/>
    <col min="10" max="10" width="7.7109375" customWidth="1"/>
    <col min="11" max="11" width="6.7109375" customWidth="1"/>
    <col min="12" max="12" width="7.7109375" customWidth="1"/>
    <col min="13" max="13" width="6.7109375" customWidth="1"/>
    <col min="14" max="14" width="7.7109375" customWidth="1"/>
  </cols>
  <sheetData>
    <row r="1" spans="1:18" ht="15" customHeight="1">
      <c r="A1" s="1893" t="s">
        <v>772</v>
      </c>
      <c r="B1" s="1893"/>
      <c r="C1" s="1893"/>
      <c r="D1" s="1893"/>
      <c r="E1" s="1893"/>
      <c r="F1" s="1893"/>
      <c r="G1" s="1893"/>
      <c r="H1" s="1893"/>
      <c r="I1" s="1893"/>
      <c r="J1" s="1893"/>
      <c r="K1" s="1893"/>
      <c r="L1" s="1893"/>
      <c r="M1" s="1893"/>
      <c r="N1" s="1893"/>
    </row>
    <row r="2" spans="1:18" ht="33.75" customHeight="1">
      <c r="A2" s="1857" t="str">
        <f>CONCATENATE(" Students by sex in different type of Professional &amp; Technical Educational Institutions 
in the district of ",District!A1)</f>
        <v xml:space="preserve"> Students by sex in different type of Professional &amp; Technical Educational Institutions 
in the district of Purba Medinipur</v>
      </c>
      <c r="B2" s="1857"/>
      <c r="C2" s="1857"/>
      <c r="D2" s="1857"/>
      <c r="E2" s="1857"/>
      <c r="F2" s="1857"/>
      <c r="G2" s="1857"/>
      <c r="H2" s="1857"/>
      <c r="I2" s="1857"/>
      <c r="J2" s="1857"/>
      <c r="K2" s="1857"/>
      <c r="L2" s="1857"/>
      <c r="M2" s="1857"/>
      <c r="N2" s="1857"/>
    </row>
    <row r="3" spans="1:18">
      <c r="A3" s="7"/>
      <c r="B3" s="7"/>
      <c r="C3" s="7"/>
      <c r="D3" s="7"/>
      <c r="E3" s="345"/>
      <c r="F3" s="345"/>
      <c r="G3" s="345"/>
      <c r="H3" s="345"/>
      <c r="I3" s="345"/>
      <c r="J3" s="345"/>
      <c r="K3" s="345"/>
      <c r="L3" s="345"/>
      <c r="M3" s="345"/>
      <c r="N3" s="204" t="s">
        <v>1001</v>
      </c>
    </row>
    <row r="4" spans="1:18" ht="15" customHeight="1">
      <c r="A4" s="1866" t="s">
        <v>436</v>
      </c>
      <c r="B4" s="2046"/>
      <c r="C4" s="2046"/>
      <c r="D4" s="1906"/>
      <c r="E4" s="2048" t="s">
        <v>899</v>
      </c>
      <c r="F4" s="2049"/>
      <c r="G4" s="2049"/>
      <c r="H4" s="2049"/>
      <c r="I4" s="2049"/>
      <c r="J4" s="2049"/>
      <c r="K4" s="2049"/>
      <c r="L4" s="2049"/>
      <c r="M4" s="2049"/>
      <c r="N4" s="2050"/>
    </row>
    <row r="5" spans="1:18">
      <c r="A5" s="1859"/>
      <c r="B5" s="2088"/>
      <c r="C5" s="2088"/>
      <c r="D5" s="2089"/>
      <c r="E5" s="1829" t="s">
        <v>1356</v>
      </c>
      <c r="F5" s="1828"/>
      <c r="G5" s="1829" t="s">
        <v>306</v>
      </c>
      <c r="H5" s="1828"/>
      <c r="I5" s="1829" t="s">
        <v>1357</v>
      </c>
      <c r="J5" s="1828"/>
      <c r="K5" s="1829" t="s">
        <v>628</v>
      </c>
      <c r="L5" s="1828"/>
      <c r="M5" s="1829" t="s">
        <v>1639</v>
      </c>
      <c r="N5" s="1828"/>
    </row>
    <row r="6" spans="1:18">
      <c r="A6" s="1860"/>
      <c r="B6" s="2047"/>
      <c r="C6" s="2047"/>
      <c r="D6" s="1907"/>
      <c r="E6" s="158" t="s">
        <v>1040</v>
      </c>
      <c r="F6" s="159" t="s">
        <v>1041</v>
      </c>
      <c r="G6" s="158" t="s">
        <v>1040</v>
      </c>
      <c r="H6" s="159" t="s">
        <v>1041</v>
      </c>
      <c r="I6" s="158" t="s">
        <v>1040</v>
      </c>
      <c r="J6" s="159" t="s">
        <v>1041</v>
      </c>
      <c r="K6" s="158" t="s">
        <v>1040</v>
      </c>
      <c r="L6" s="159" t="s">
        <v>1041</v>
      </c>
      <c r="M6" s="158" t="s">
        <v>1040</v>
      </c>
      <c r="N6" s="159" t="s">
        <v>1041</v>
      </c>
    </row>
    <row r="7" spans="1:18">
      <c r="A7" s="2090" t="s">
        <v>955</v>
      </c>
      <c r="B7" s="2091"/>
      <c r="C7" s="2091"/>
      <c r="D7" s="2092"/>
      <c r="E7" s="173" t="s">
        <v>956</v>
      </c>
      <c r="F7" s="174" t="s">
        <v>957</v>
      </c>
      <c r="G7" s="173" t="s">
        <v>958</v>
      </c>
      <c r="H7" s="174" t="s">
        <v>959</v>
      </c>
      <c r="I7" s="173" t="s">
        <v>961</v>
      </c>
      <c r="J7" s="213" t="s">
        <v>962</v>
      </c>
      <c r="K7" s="214" t="s">
        <v>990</v>
      </c>
      <c r="L7" s="213" t="s">
        <v>991</v>
      </c>
      <c r="M7" s="173" t="s">
        <v>992</v>
      </c>
      <c r="N7" s="213" t="s">
        <v>993</v>
      </c>
    </row>
    <row r="8" spans="1:18">
      <c r="A8" s="745" t="s">
        <v>1489</v>
      </c>
      <c r="B8" s="2033" t="s">
        <v>394</v>
      </c>
      <c r="C8" s="2034"/>
      <c r="D8" s="2035"/>
      <c r="E8" s="1596">
        <f t="shared" ref="E8:J8" si="0">SUM(E9,E14,E17)</f>
        <v>1265</v>
      </c>
      <c r="F8" s="253">
        <f t="shared" si="0"/>
        <v>512</v>
      </c>
      <c r="G8" s="316">
        <f t="shared" si="0"/>
        <v>1387</v>
      </c>
      <c r="H8" s="253">
        <f t="shared" si="0"/>
        <v>608</v>
      </c>
      <c r="I8" s="316">
        <f t="shared" si="0"/>
        <v>1308</v>
      </c>
      <c r="J8" s="322">
        <f t="shared" si="0"/>
        <v>452</v>
      </c>
      <c r="K8" s="316">
        <f>SUM(K9,K14,K17)</f>
        <v>1264</v>
      </c>
      <c r="L8" s="253">
        <f>SUM(L9,L14,L17)</f>
        <v>449</v>
      </c>
      <c r="M8" s="316">
        <f>SUM(M9,M14,M17)</f>
        <v>1276</v>
      </c>
      <c r="N8" s="322">
        <f>SUM(N9,N14,N17)</f>
        <v>774</v>
      </c>
      <c r="P8" s="1626"/>
      <c r="Q8" s="1623"/>
    </row>
    <row r="9" spans="1:18" ht="14.25" customHeight="1">
      <c r="A9" s="34"/>
      <c r="B9" s="864" t="s">
        <v>1313</v>
      </c>
      <c r="C9" s="223" t="s">
        <v>1348</v>
      </c>
      <c r="D9" s="1269"/>
      <c r="E9" s="326">
        <f t="shared" ref="E9:H9" si="1">SUM(E10:E13)</f>
        <v>668</v>
      </c>
      <c r="F9" s="310">
        <f t="shared" si="1"/>
        <v>206</v>
      </c>
      <c r="G9" s="318">
        <f t="shared" si="1"/>
        <v>742</v>
      </c>
      <c r="H9" s="310">
        <f t="shared" si="1"/>
        <v>248</v>
      </c>
      <c r="I9" s="318">
        <f t="shared" ref="I9:N9" si="2">SUM(I10:I13)</f>
        <v>722</v>
      </c>
      <c r="J9" s="310">
        <f t="shared" si="2"/>
        <v>91</v>
      </c>
      <c r="K9" s="318">
        <f t="shared" si="2"/>
        <v>696</v>
      </c>
      <c r="L9" s="310">
        <f t="shared" si="2"/>
        <v>50</v>
      </c>
      <c r="M9" s="318">
        <f t="shared" si="2"/>
        <v>538</v>
      </c>
      <c r="N9" s="310">
        <f t="shared" si="2"/>
        <v>41</v>
      </c>
      <c r="P9" s="1626"/>
      <c r="Q9" s="1623"/>
    </row>
    <row r="10" spans="1:18">
      <c r="A10" s="34"/>
      <c r="B10" s="34"/>
      <c r="C10" s="7"/>
      <c r="D10" s="224" t="s">
        <v>1349</v>
      </c>
      <c r="E10" s="155" t="s">
        <v>1384</v>
      </c>
      <c r="F10" s="112" t="s">
        <v>1384</v>
      </c>
      <c r="G10" s="104" t="s">
        <v>1384</v>
      </c>
      <c r="H10" s="124" t="s">
        <v>1384</v>
      </c>
      <c r="I10" s="104" t="s">
        <v>1384</v>
      </c>
      <c r="J10" s="124" t="s">
        <v>1384</v>
      </c>
      <c r="K10" s="104" t="s">
        <v>1384</v>
      </c>
      <c r="L10" s="124" t="s">
        <v>1384</v>
      </c>
      <c r="M10" s="104" t="s">
        <v>1384</v>
      </c>
      <c r="N10" s="124" t="s">
        <v>1384</v>
      </c>
      <c r="O10" s="62"/>
      <c r="P10" s="1626"/>
      <c r="Q10" s="1623"/>
      <c r="R10" s="62"/>
    </row>
    <row r="11" spans="1:18">
      <c r="A11" s="34"/>
      <c r="B11" s="34"/>
      <c r="C11" s="7"/>
      <c r="D11" s="224" t="s">
        <v>289</v>
      </c>
      <c r="E11" s="155" t="s">
        <v>1384</v>
      </c>
      <c r="F11" s="112" t="s">
        <v>1384</v>
      </c>
      <c r="G11" s="104" t="s">
        <v>1384</v>
      </c>
      <c r="H11" s="124" t="s">
        <v>1384</v>
      </c>
      <c r="I11" s="104" t="s">
        <v>1384</v>
      </c>
      <c r="J11" s="124" t="s">
        <v>1384</v>
      </c>
      <c r="K11" s="104" t="s">
        <v>1384</v>
      </c>
      <c r="L11" s="124" t="s">
        <v>1384</v>
      </c>
      <c r="M11" s="104" t="s">
        <v>1384</v>
      </c>
      <c r="N11" s="124" t="s">
        <v>1384</v>
      </c>
      <c r="P11" s="1626"/>
      <c r="Q11" s="1623"/>
    </row>
    <row r="12" spans="1:18">
      <c r="A12" s="34"/>
      <c r="B12" s="34"/>
      <c r="C12" s="7"/>
      <c r="D12" s="224" t="s">
        <v>1350</v>
      </c>
      <c r="E12" s="8">
        <v>204</v>
      </c>
      <c r="F12" s="1603">
        <v>34</v>
      </c>
      <c r="G12" s="1602">
        <v>204</v>
      </c>
      <c r="H12" s="1603">
        <v>35</v>
      </c>
      <c r="I12" s="1602">
        <v>338</v>
      </c>
      <c r="J12" s="1603">
        <v>45</v>
      </c>
      <c r="K12" s="1602">
        <v>436</v>
      </c>
      <c r="L12" s="1603">
        <v>49</v>
      </c>
      <c r="M12" s="57">
        <v>538</v>
      </c>
      <c r="N12" s="56">
        <v>41</v>
      </c>
      <c r="P12" s="1626"/>
      <c r="Q12" s="1623"/>
    </row>
    <row r="13" spans="1:18">
      <c r="A13" s="34"/>
      <c r="B13" s="34"/>
      <c r="C13" s="7"/>
      <c r="D13" s="224" t="s">
        <v>841</v>
      </c>
      <c r="E13" s="816">
        <v>464</v>
      </c>
      <c r="F13" s="817">
        <v>172</v>
      </c>
      <c r="G13" s="816">
        <v>538</v>
      </c>
      <c r="H13" s="818">
        <v>213</v>
      </c>
      <c r="I13" s="816">
        <v>384</v>
      </c>
      <c r="J13" s="818">
        <v>46</v>
      </c>
      <c r="K13" s="816">
        <v>260</v>
      </c>
      <c r="L13" s="818">
        <v>1</v>
      </c>
      <c r="M13" s="446" t="s">
        <v>1384</v>
      </c>
      <c r="N13" s="447" t="s">
        <v>1384</v>
      </c>
      <c r="P13" s="1626"/>
      <c r="Q13" s="1623"/>
    </row>
    <row r="14" spans="1:18">
      <c r="A14" s="34"/>
      <c r="B14" s="864" t="s">
        <v>1311</v>
      </c>
      <c r="C14" s="223" t="s">
        <v>1351</v>
      </c>
      <c r="D14" s="1270"/>
      <c r="E14" s="326">
        <f t="shared" ref="E14:H14" si="3">IF(SUM(E15:E16)=0,"-",SUM(E15:E16))</f>
        <v>234</v>
      </c>
      <c r="F14" s="310">
        <f t="shared" si="3"/>
        <v>140</v>
      </c>
      <c r="G14" s="326">
        <f t="shared" si="3"/>
        <v>311</v>
      </c>
      <c r="H14" s="310">
        <f t="shared" si="3"/>
        <v>188</v>
      </c>
      <c r="I14" s="326">
        <f t="shared" ref="I14:N14" si="4">IF(SUM(I15:I16)=0,"-",SUM(I15:I16))</f>
        <v>284</v>
      </c>
      <c r="J14" s="310">
        <f t="shared" si="4"/>
        <v>216</v>
      </c>
      <c r="K14" s="326">
        <f t="shared" si="4"/>
        <v>322</v>
      </c>
      <c r="L14" s="310">
        <f t="shared" si="4"/>
        <v>278</v>
      </c>
      <c r="M14" s="326">
        <f t="shared" si="4"/>
        <v>484</v>
      </c>
      <c r="N14" s="310">
        <f t="shared" si="4"/>
        <v>563</v>
      </c>
      <c r="P14" s="1626"/>
      <c r="Q14" s="1623"/>
    </row>
    <row r="15" spans="1:18" ht="13.5" customHeight="1">
      <c r="A15" s="34"/>
      <c r="B15" s="34"/>
      <c r="C15" s="7"/>
      <c r="D15" s="315" t="s">
        <v>485</v>
      </c>
      <c r="E15" s="155">
        <v>234</v>
      </c>
      <c r="F15" s="112">
        <v>140</v>
      </c>
      <c r="G15" s="354">
        <v>311</v>
      </c>
      <c r="H15" s="112">
        <v>188</v>
      </c>
      <c r="I15" s="354">
        <v>284</v>
      </c>
      <c r="J15" s="112">
        <v>216</v>
      </c>
      <c r="K15" s="354">
        <v>322</v>
      </c>
      <c r="L15" s="112">
        <v>278</v>
      </c>
      <c r="M15" s="354">
        <v>484</v>
      </c>
      <c r="N15" s="112">
        <v>563</v>
      </c>
      <c r="P15" s="1626"/>
      <c r="Q15" s="1623"/>
    </row>
    <row r="16" spans="1:18">
      <c r="A16" s="34"/>
      <c r="B16" s="34"/>
      <c r="C16" s="7"/>
      <c r="D16" s="224" t="s">
        <v>1354</v>
      </c>
      <c r="E16" s="155" t="s">
        <v>1384</v>
      </c>
      <c r="F16" s="112" t="s">
        <v>1384</v>
      </c>
      <c r="G16" s="354" t="s">
        <v>1384</v>
      </c>
      <c r="H16" s="112" t="s">
        <v>1384</v>
      </c>
      <c r="I16" s="354" t="s">
        <v>1384</v>
      </c>
      <c r="J16" s="112" t="s">
        <v>1384</v>
      </c>
      <c r="K16" s="125" t="s">
        <v>1384</v>
      </c>
      <c r="L16" s="124" t="s">
        <v>1384</v>
      </c>
      <c r="M16" s="125" t="s">
        <v>1384</v>
      </c>
      <c r="N16" s="124" t="s">
        <v>1384</v>
      </c>
      <c r="P16" s="1626"/>
      <c r="Q16" s="1623"/>
    </row>
    <row r="17" spans="1:17" ht="26.25" customHeight="1">
      <c r="A17" s="34"/>
      <c r="B17" s="862" t="s">
        <v>1312</v>
      </c>
      <c r="C17" s="2086" t="s">
        <v>1188</v>
      </c>
      <c r="D17" s="2087"/>
      <c r="E17" s="326">
        <v>363</v>
      </c>
      <c r="F17" s="310">
        <v>166</v>
      </c>
      <c r="G17" s="318">
        <v>334</v>
      </c>
      <c r="H17" s="310">
        <v>172</v>
      </c>
      <c r="I17" s="318">
        <v>302</v>
      </c>
      <c r="J17" s="310">
        <v>145</v>
      </c>
      <c r="K17" s="318">
        <v>246</v>
      </c>
      <c r="L17" s="310">
        <v>121</v>
      </c>
      <c r="M17" s="318">
        <v>254</v>
      </c>
      <c r="N17" s="310">
        <v>170</v>
      </c>
      <c r="P17" s="1626"/>
      <c r="Q17" s="1623"/>
    </row>
    <row r="18" spans="1:17">
      <c r="A18" s="746" t="s">
        <v>1490</v>
      </c>
      <c r="B18" s="2061" t="s">
        <v>395</v>
      </c>
      <c r="C18" s="2062"/>
      <c r="D18" s="2063"/>
      <c r="E18" s="1596">
        <f t="shared" ref="E18:H18" si="5">SUM(E19,E26,E29)</f>
        <v>5393</v>
      </c>
      <c r="F18" s="253">
        <f t="shared" si="5"/>
        <v>1707</v>
      </c>
      <c r="G18" s="316">
        <f t="shared" si="5"/>
        <v>5599</v>
      </c>
      <c r="H18" s="253">
        <f t="shared" si="5"/>
        <v>1732</v>
      </c>
      <c r="I18" s="316">
        <f t="shared" ref="I18:N18" si="6">SUM(I19,I26,I29)</f>
        <v>5787</v>
      </c>
      <c r="J18" s="253">
        <f t="shared" si="6"/>
        <v>1729</v>
      </c>
      <c r="K18" s="316">
        <f t="shared" si="6"/>
        <v>5942</v>
      </c>
      <c r="L18" s="253">
        <f t="shared" si="6"/>
        <v>1760</v>
      </c>
      <c r="M18" s="316">
        <f t="shared" si="6"/>
        <v>6692</v>
      </c>
      <c r="N18" s="253">
        <f t="shared" si="6"/>
        <v>2017</v>
      </c>
      <c r="O18" s="5"/>
      <c r="P18" s="1626"/>
      <c r="Q18" s="1623"/>
    </row>
    <row r="19" spans="1:17">
      <c r="A19" s="34"/>
      <c r="B19" s="864" t="s">
        <v>1313</v>
      </c>
      <c r="C19" s="223" t="s">
        <v>1355</v>
      </c>
      <c r="D19" s="1270"/>
      <c r="E19" s="326">
        <f t="shared" ref="E19:J19" si="7">SUM(E20:E25)</f>
        <v>4735</v>
      </c>
      <c r="F19" s="310">
        <f t="shared" si="7"/>
        <v>1045</v>
      </c>
      <c r="G19" s="318">
        <f t="shared" si="7"/>
        <v>4839</v>
      </c>
      <c r="H19" s="310">
        <f t="shared" si="7"/>
        <v>1073</v>
      </c>
      <c r="I19" s="318">
        <f t="shared" si="7"/>
        <v>5116</v>
      </c>
      <c r="J19" s="310">
        <f t="shared" si="7"/>
        <v>1186</v>
      </c>
      <c r="K19" s="318">
        <f>SUM(K20:K25)</f>
        <v>5210</v>
      </c>
      <c r="L19" s="310">
        <f>SUM(L20:L25)</f>
        <v>1132</v>
      </c>
      <c r="M19" s="318">
        <f>SUM(M20:M25)</f>
        <v>6008</v>
      </c>
      <c r="N19" s="310">
        <f>SUM(N20:N25)</f>
        <v>1350</v>
      </c>
      <c r="P19" s="1626"/>
      <c r="Q19" s="1623"/>
    </row>
    <row r="20" spans="1:17" ht="13.5" customHeight="1">
      <c r="A20" s="34"/>
      <c r="B20" s="34"/>
      <c r="C20" s="7"/>
      <c r="D20" s="313" t="s">
        <v>706</v>
      </c>
      <c r="E20" s="155" t="s">
        <v>1384</v>
      </c>
      <c r="F20" s="112" t="s">
        <v>1384</v>
      </c>
      <c r="G20" s="125" t="s">
        <v>1384</v>
      </c>
      <c r="H20" s="124" t="s">
        <v>1384</v>
      </c>
      <c r="I20" s="125" t="s">
        <v>1384</v>
      </c>
      <c r="J20" s="124" t="s">
        <v>1384</v>
      </c>
      <c r="K20" s="125" t="s">
        <v>1384</v>
      </c>
      <c r="L20" s="124" t="s">
        <v>1384</v>
      </c>
      <c r="M20" s="125" t="s">
        <v>1384</v>
      </c>
      <c r="N20" s="124" t="s">
        <v>1384</v>
      </c>
      <c r="P20" s="1626"/>
      <c r="Q20" s="1623"/>
    </row>
    <row r="21" spans="1:17">
      <c r="A21" s="34"/>
      <c r="B21" s="34"/>
      <c r="C21" s="7"/>
      <c r="D21" s="224" t="s">
        <v>602</v>
      </c>
      <c r="E21" s="8">
        <v>3756</v>
      </c>
      <c r="F21" s="1603">
        <v>870</v>
      </c>
      <c r="G21" s="1602">
        <v>3790</v>
      </c>
      <c r="H21" s="1603">
        <v>893</v>
      </c>
      <c r="I21" s="1602">
        <v>4051</v>
      </c>
      <c r="J21" s="1603">
        <v>946</v>
      </c>
      <c r="K21" s="1602">
        <v>4171</v>
      </c>
      <c r="L21" s="1603">
        <v>978</v>
      </c>
      <c r="M21" s="57">
        <v>4433</v>
      </c>
      <c r="N21" s="56">
        <v>1103</v>
      </c>
      <c r="P21" s="1626"/>
      <c r="Q21" s="1623"/>
    </row>
    <row r="22" spans="1:17">
      <c r="A22" s="34"/>
      <c r="B22" s="34"/>
      <c r="C22" s="7"/>
      <c r="D22" s="224" t="s">
        <v>603</v>
      </c>
      <c r="E22" s="8">
        <v>81</v>
      </c>
      <c r="F22" s="1603">
        <v>35</v>
      </c>
      <c r="G22" s="1602">
        <v>68</v>
      </c>
      <c r="H22" s="1603">
        <v>29</v>
      </c>
      <c r="I22" s="1602">
        <v>44</v>
      </c>
      <c r="J22" s="1603">
        <v>24</v>
      </c>
      <c r="K22" s="1602">
        <v>33</v>
      </c>
      <c r="L22" s="1603">
        <v>16</v>
      </c>
      <c r="M22" s="57">
        <v>37</v>
      </c>
      <c r="N22" s="56">
        <v>19</v>
      </c>
      <c r="P22" s="1626"/>
      <c r="Q22" s="1623"/>
    </row>
    <row r="23" spans="1:17">
      <c r="A23" s="34"/>
      <c r="B23" s="34"/>
      <c r="C23" s="7"/>
      <c r="D23" s="224" t="s">
        <v>604</v>
      </c>
      <c r="E23" s="8">
        <v>610</v>
      </c>
      <c r="F23" s="1603">
        <v>90</v>
      </c>
      <c r="G23" s="1602">
        <v>668</v>
      </c>
      <c r="H23" s="1603">
        <v>95</v>
      </c>
      <c r="I23" s="1602">
        <v>820</v>
      </c>
      <c r="J23" s="1603">
        <v>152</v>
      </c>
      <c r="K23" s="1602">
        <v>859</v>
      </c>
      <c r="L23" s="1603">
        <v>136</v>
      </c>
      <c r="M23" s="57">
        <v>1385</v>
      </c>
      <c r="N23" s="56">
        <v>206</v>
      </c>
      <c r="P23" s="1626"/>
      <c r="Q23" s="1623"/>
    </row>
    <row r="24" spans="1:17">
      <c r="A24" s="34"/>
      <c r="B24" s="34"/>
      <c r="C24" s="7"/>
      <c r="D24" s="224" t="s">
        <v>1358</v>
      </c>
      <c r="E24" s="155" t="s">
        <v>1384</v>
      </c>
      <c r="F24" s="112" t="s">
        <v>1384</v>
      </c>
      <c r="G24" s="125" t="s">
        <v>1384</v>
      </c>
      <c r="H24" s="124" t="s">
        <v>1384</v>
      </c>
      <c r="I24" s="125" t="s">
        <v>1384</v>
      </c>
      <c r="J24" s="124" t="s">
        <v>1384</v>
      </c>
      <c r="K24" s="125" t="s">
        <v>1384</v>
      </c>
      <c r="L24" s="124" t="s">
        <v>1384</v>
      </c>
      <c r="M24" s="125" t="s">
        <v>1384</v>
      </c>
      <c r="N24" s="124" t="s">
        <v>1384</v>
      </c>
      <c r="P24" s="1626"/>
      <c r="Q24" s="1623"/>
    </row>
    <row r="25" spans="1:17" ht="24" customHeight="1">
      <c r="A25" s="34"/>
      <c r="B25" s="34"/>
      <c r="C25" s="7"/>
      <c r="D25" s="314" t="s">
        <v>252</v>
      </c>
      <c r="E25" s="1604">
        <v>288</v>
      </c>
      <c r="F25" s="1593">
        <v>50</v>
      </c>
      <c r="G25" s="1592">
        <v>313</v>
      </c>
      <c r="H25" s="1593">
        <v>56</v>
      </c>
      <c r="I25" s="1592">
        <v>201</v>
      </c>
      <c r="J25" s="1593">
        <v>64</v>
      </c>
      <c r="K25" s="1592">
        <v>147</v>
      </c>
      <c r="L25" s="1593">
        <v>2</v>
      </c>
      <c r="M25" s="117">
        <v>153</v>
      </c>
      <c r="N25" s="102">
        <v>22</v>
      </c>
      <c r="P25" s="1626"/>
      <c r="Q25" s="1623"/>
    </row>
    <row r="26" spans="1:17">
      <c r="A26" s="34"/>
      <c r="B26" s="864" t="s">
        <v>1311</v>
      </c>
      <c r="C26" s="223" t="s">
        <v>1359</v>
      </c>
      <c r="D26" s="1269"/>
      <c r="E26" s="326">
        <f t="shared" ref="E26:H26" si="8">SUM(E27:E28)</f>
        <v>562</v>
      </c>
      <c r="F26" s="310">
        <f t="shared" si="8"/>
        <v>588</v>
      </c>
      <c r="G26" s="318">
        <f t="shared" si="8"/>
        <v>664</v>
      </c>
      <c r="H26" s="310">
        <f t="shared" si="8"/>
        <v>585</v>
      </c>
      <c r="I26" s="318">
        <f t="shared" ref="I26:N26" si="9">SUM(I27:I28)</f>
        <v>635</v>
      </c>
      <c r="J26" s="310">
        <f t="shared" si="9"/>
        <v>515</v>
      </c>
      <c r="K26" s="318">
        <f t="shared" si="9"/>
        <v>685</v>
      </c>
      <c r="L26" s="310">
        <f t="shared" si="9"/>
        <v>574</v>
      </c>
      <c r="M26" s="318">
        <f t="shared" si="9"/>
        <v>657</v>
      </c>
      <c r="N26" s="310">
        <f t="shared" si="9"/>
        <v>636</v>
      </c>
      <c r="P26" s="1626"/>
      <c r="Q26" s="1623"/>
    </row>
    <row r="27" spans="1:17">
      <c r="A27" s="34"/>
      <c r="B27" s="34"/>
      <c r="C27" s="7"/>
      <c r="D27" s="224" t="s">
        <v>605</v>
      </c>
      <c r="E27" s="8">
        <v>562</v>
      </c>
      <c r="F27" s="1603">
        <v>588</v>
      </c>
      <c r="G27" s="1602">
        <v>664</v>
      </c>
      <c r="H27" s="1603">
        <v>585</v>
      </c>
      <c r="I27" s="1602">
        <v>635</v>
      </c>
      <c r="J27" s="1603">
        <v>515</v>
      </c>
      <c r="K27" s="1602">
        <v>685</v>
      </c>
      <c r="L27" s="1603">
        <v>574</v>
      </c>
      <c r="M27" s="57">
        <v>657</v>
      </c>
      <c r="N27" s="56">
        <v>636</v>
      </c>
      <c r="P27" s="1626"/>
      <c r="Q27" s="1623"/>
    </row>
    <row r="28" spans="1:17">
      <c r="A28" s="34"/>
      <c r="B28" s="34"/>
      <c r="C28" s="7"/>
      <c r="D28" s="224" t="s">
        <v>1360</v>
      </c>
      <c r="E28" s="354" t="s">
        <v>1384</v>
      </c>
      <c r="F28" s="112" t="s">
        <v>1384</v>
      </c>
      <c r="G28" s="125" t="s">
        <v>1384</v>
      </c>
      <c r="H28" s="124" t="s">
        <v>1384</v>
      </c>
      <c r="I28" s="125" t="s">
        <v>1384</v>
      </c>
      <c r="J28" s="124" t="s">
        <v>1384</v>
      </c>
      <c r="K28" s="125" t="s">
        <v>1384</v>
      </c>
      <c r="L28" s="124" t="s">
        <v>1384</v>
      </c>
      <c r="M28" s="125" t="s">
        <v>1384</v>
      </c>
      <c r="N28" s="124" t="s">
        <v>1384</v>
      </c>
      <c r="P28" s="1626"/>
      <c r="Q28" s="1623"/>
    </row>
    <row r="29" spans="1:17">
      <c r="A29" s="34"/>
      <c r="B29" s="864" t="s">
        <v>1312</v>
      </c>
      <c r="C29" s="223" t="s">
        <v>1628</v>
      </c>
      <c r="D29" s="1269"/>
      <c r="E29" s="326">
        <f t="shared" ref="E29:H29" si="10">IF(SUM(E30:E34)=0,"-",SUM(E30:E34))</f>
        <v>96</v>
      </c>
      <c r="F29" s="310">
        <f t="shared" si="10"/>
        <v>74</v>
      </c>
      <c r="G29" s="318">
        <f t="shared" si="10"/>
        <v>96</v>
      </c>
      <c r="H29" s="310">
        <f t="shared" si="10"/>
        <v>74</v>
      </c>
      <c r="I29" s="318">
        <f t="shared" ref="I29:N29" si="11">IF(SUM(I30:I34)=0,"-",SUM(I30:I34))</f>
        <v>36</v>
      </c>
      <c r="J29" s="310">
        <f t="shared" si="11"/>
        <v>28</v>
      </c>
      <c r="K29" s="318">
        <f t="shared" si="11"/>
        <v>47</v>
      </c>
      <c r="L29" s="310">
        <f t="shared" si="11"/>
        <v>54</v>
      </c>
      <c r="M29" s="318">
        <f t="shared" si="11"/>
        <v>27</v>
      </c>
      <c r="N29" s="310">
        <f t="shared" si="11"/>
        <v>31</v>
      </c>
      <c r="P29" s="1626"/>
      <c r="Q29" s="1623"/>
    </row>
    <row r="30" spans="1:17">
      <c r="A30" s="34"/>
      <c r="B30" s="34"/>
      <c r="C30" s="7"/>
      <c r="D30" s="224" t="s">
        <v>1361</v>
      </c>
      <c r="E30" s="8">
        <v>84</v>
      </c>
      <c r="F30" s="1603">
        <v>56</v>
      </c>
      <c r="G30" s="1602">
        <v>84</v>
      </c>
      <c r="H30" s="1603">
        <v>56</v>
      </c>
      <c r="I30" s="1602">
        <v>26</v>
      </c>
      <c r="J30" s="1603">
        <v>20</v>
      </c>
      <c r="K30" s="1602">
        <v>42</v>
      </c>
      <c r="L30" s="1603">
        <v>44</v>
      </c>
      <c r="M30" s="57">
        <v>19</v>
      </c>
      <c r="N30" s="56">
        <v>19</v>
      </c>
      <c r="P30" s="1626"/>
      <c r="Q30" s="1623"/>
    </row>
    <row r="31" spans="1:17">
      <c r="A31" s="34"/>
      <c r="B31" s="34"/>
      <c r="C31" s="7"/>
      <c r="D31" s="224" t="s">
        <v>1362</v>
      </c>
      <c r="E31" s="104" t="s">
        <v>1384</v>
      </c>
      <c r="F31" s="124" t="s">
        <v>1384</v>
      </c>
      <c r="G31" s="104" t="s">
        <v>1384</v>
      </c>
      <c r="H31" s="124" t="s">
        <v>1384</v>
      </c>
      <c r="I31" s="104" t="s">
        <v>1384</v>
      </c>
      <c r="J31" s="124" t="s">
        <v>1384</v>
      </c>
      <c r="K31" s="104" t="s">
        <v>1384</v>
      </c>
      <c r="L31" s="124" t="s">
        <v>1384</v>
      </c>
      <c r="M31" s="104" t="s">
        <v>1384</v>
      </c>
      <c r="N31" s="124" t="s">
        <v>1384</v>
      </c>
      <c r="P31" s="1626"/>
      <c r="Q31" s="1623"/>
    </row>
    <row r="32" spans="1:17">
      <c r="A32" s="34"/>
      <c r="B32" s="34"/>
      <c r="C32" s="7"/>
      <c r="D32" s="224" t="s">
        <v>1365</v>
      </c>
      <c r="E32" s="104" t="s">
        <v>1384</v>
      </c>
      <c r="F32" s="124" t="s">
        <v>1384</v>
      </c>
      <c r="G32" s="104" t="s">
        <v>1384</v>
      </c>
      <c r="H32" s="124" t="s">
        <v>1384</v>
      </c>
      <c r="I32" s="104" t="s">
        <v>1384</v>
      </c>
      <c r="J32" s="124" t="s">
        <v>1384</v>
      </c>
      <c r="K32" s="104" t="s">
        <v>1384</v>
      </c>
      <c r="L32" s="124" t="s">
        <v>1384</v>
      </c>
      <c r="M32" s="104" t="s">
        <v>1384</v>
      </c>
      <c r="N32" s="124" t="s">
        <v>1384</v>
      </c>
      <c r="P32" s="1626"/>
      <c r="Q32" s="1623"/>
    </row>
    <row r="33" spans="1:17">
      <c r="A33" s="34"/>
      <c r="B33" s="34"/>
      <c r="C33" s="7"/>
      <c r="D33" s="224" t="s">
        <v>1363</v>
      </c>
      <c r="E33" s="155" t="s">
        <v>1384</v>
      </c>
      <c r="F33" s="112" t="s">
        <v>1384</v>
      </c>
      <c r="G33" s="125" t="s">
        <v>1384</v>
      </c>
      <c r="H33" s="124" t="s">
        <v>1384</v>
      </c>
      <c r="I33" s="125" t="s">
        <v>1384</v>
      </c>
      <c r="J33" s="124" t="s">
        <v>1384</v>
      </c>
      <c r="K33" s="125" t="s">
        <v>1384</v>
      </c>
      <c r="L33" s="124" t="s">
        <v>1384</v>
      </c>
      <c r="M33" s="125" t="s">
        <v>1384</v>
      </c>
      <c r="N33" s="124" t="s">
        <v>1384</v>
      </c>
      <c r="P33" s="1626"/>
      <c r="Q33" s="1623"/>
    </row>
    <row r="34" spans="1:17" ht="13.5" customHeight="1">
      <c r="A34" s="34"/>
      <c r="B34" s="34"/>
      <c r="C34" s="7"/>
      <c r="D34" s="313" t="s">
        <v>1364</v>
      </c>
      <c r="E34" s="1604">
        <v>12</v>
      </c>
      <c r="F34" s="1593">
        <v>18</v>
      </c>
      <c r="G34" s="1592">
        <v>12</v>
      </c>
      <c r="H34" s="1593">
        <v>18</v>
      </c>
      <c r="I34" s="1592">
        <v>10</v>
      </c>
      <c r="J34" s="1593">
        <v>8</v>
      </c>
      <c r="K34" s="1592">
        <v>5</v>
      </c>
      <c r="L34" s="1593">
        <v>10</v>
      </c>
      <c r="M34" s="117">
        <v>8</v>
      </c>
      <c r="N34" s="102">
        <v>12</v>
      </c>
      <c r="P34" s="1626"/>
      <c r="Q34" s="1623"/>
    </row>
    <row r="35" spans="1:17">
      <c r="A35" s="746" t="s">
        <v>1491</v>
      </c>
      <c r="B35" s="2056" t="s">
        <v>396</v>
      </c>
      <c r="C35" s="2057"/>
      <c r="D35" s="2058"/>
      <c r="E35" s="1619" t="s">
        <v>1384</v>
      </c>
      <c r="F35" s="325" t="s">
        <v>1384</v>
      </c>
      <c r="G35" s="918" t="s">
        <v>1384</v>
      </c>
      <c r="H35" s="309" t="s">
        <v>1384</v>
      </c>
      <c r="I35" s="918" t="s">
        <v>1384</v>
      </c>
      <c r="J35" s="309" t="s">
        <v>1384</v>
      </c>
      <c r="K35" s="918" t="s">
        <v>1384</v>
      </c>
      <c r="L35" s="309" t="s">
        <v>1384</v>
      </c>
      <c r="M35" s="918" t="s">
        <v>1384</v>
      </c>
      <c r="N35" s="309" t="s">
        <v>1384</v>
      </c>
      <c r="P35" s="1626"/>
      <c r="Q35" s="1623"/>
    </row>
    <row r="36" spans="1:17">
      <c r="A36" s="119"/>
      <c r="B36" s="2059" t="s">
        <v>979</v>
      </c>
      <c r="C36" s="2059"/>
      <c r="D36" s="2060"/>
      <c r="E36" s="1594">
        <f t="shared" ref="E36:J36" si="12">SUM(E8,E18,E35)</f>
        <v>6658</v>
      </c>
      <c r="F36" s="1595">
        <f t="shared" si="12"/>
        <v>2219</v>
      </c>
      <c r="G36" s="1594">
        <f t="shared" si="12"/>
        <v>6986</v>
      </c>
      <c r="H36" s="1595">
        <f t="shared" si="12"/>
        <v>2340</v>
      </c>
      <c r="I36" s="1594">
        <f t="shared" si="12"/>
        <v>7095</v>
      </c>
      <c r="J36" s="1595">
        <f t="shared" si="12"/>
        <v>2181</v>
      </c>
      <c r="K36" s="196">
        <f>SUM(K8,K18,K35)</f>
        <v>7206</v>
      </c>
      <c r="L36" s="1588">
        <f>SUM(L8,L18,L35)</f>
        <v>2209</v>
      </c>
      <c r="M36" s="196">
        <f>SUM(M8,M18,M35)</f>
        <v>7968</v>
      </c>
      <c r="N36" s="197">
        <f>SUM(N8,N18,N35)</f>
        <v>2791</v>
      </c>
      <c r="P36" s="1626"/>
      <c r="Q36" s="1623"/>
    </row>
    <row r="37" spans="1:17">
      <c r="A37" s="419"/>
      <c r="B37" s="202"/>
      <c r="C37" s="419"/>
      <c r="D37" s="419"/>
      <c r="E37" s="62"/>
      <c r="F37" s="62"/>
      <c r="G37" s="62"/>
      <c r="H37" s="62"/>
      <c r="I37" s="62"/>
      <c r="J37" s="324"/>
      <c r="L37" s="561"/>
      <c r="M37" s="561"/>
      <c r="N37" s="1134" t="str">
        <f>CONCATENATE("Source : Heads of all Technical and Professional Institutions, ",District!A1)</f>
        <v>Source : Heads of all Technical and Professional Institutions, Purba Medinipur</v>
      </c>
    </row>
    <row r="38" spans="1:17">
      <c r="A38" s="62"/>
      <c r="B38" s="62"/>
      <c r="C38" s="62"/>
      <c r="D38" s="1437"/>
      <c r="E38" s="62"/>
      <c r="F38" s="62"/>
      <c r="G38" s="62"/>
      <c r="H38" s="62"/>
      <c r="I38" s="62"/>
      <c r="J38" s="320"/>
      <c r="K38" s="529"/>
      <c r="L38" s="529"/>
      <c r="M38" s="529"/>
      <c r="N38" s="529"/>
    </row>
    <row r="39" spans="1:17">
      <c r="A39" s="62"/>
      <c r="B39" s="62"/>
      <c r="C39" s="62"/>
      <c r="D39" s="62"/>
      <c r="E39" s="62"/>
      <c r="F39" s="62"/>
      <c r="G39" s="62"/>
      <c r="H39" s="62"/>
      <c r="I39" s="62"/>
      <c r="J39" s="62"/>
      <c r="K39" s="62"/>
      <c r="L39" s="62"/>
      <c r="M39" s="62"/>
      <c r="N39" s="62"/>
    </row>
    <row r="40" spans="1:17">
      <c r="A40" s="62"/>
      <c r="B40" s="62"/>
      <c r="C40" s="62"/>
      <c r="D40" s="62"/>
      <c r="E40" s="62"/>
      <c r="F40" s="62"/>
      <c r="G40" s="62"/>
      <c r="H40" s="62"/>
      <c r="I40" s="62"/>
      <c r="J40" s="62"/>
      <c r="K40" s="62"/>
      <c r="L40" s="62"/>
      <c r="M40" s="62"/>
      <c r="N40" s="62"/>
    </row>
    <row r="41" spans="1:17">
      <c r="A41" s="62"/>
      <c r="B41" s="62"/>
      <c r="C41" s="62"/>
      <c r="D41" s="62"/>
      <c r="E41" s="62"/>
      <c r="F41" s="62"/>
      <c r="G41" s="62"/>
      <c r="H41" s="62"/>
      <c r="I41" s="62"/>
      <c r="J41" s="62"/>
      <c r="K41" s="62"/>
      <c r="L41" s="62"/>
      <c r="M41" s="62"/>
      <c r="N41" s="62"/>
    </row>
    <row r="42" spans="1:17">
      <c r="A42" s="62"/>
      <c r="B42" s="62"/>
      <c r="C42" s="62"/>
      <c r="D42" s="62"/>
      <c r="E42" s="62"/>
      <c r="F42" s="62"/>
      <c r="G42" s="62"/>
      <c r="H42" s="62"/>
      <c r="I42" s="62"/>
      <c r="J42" s="62"/>
      <c r="K42" s="62"/>
      <c r="L42" s="62"/>
      <c r="M42" s="62"/>
      <c r="N42" s="62"/>
    </row>
  </sheetData>
  <mergeCells count="15">
    <mergeCell ref="B36:D36"/>
    <mergeCell ref="B35:D35"/>
    <mergeCell ref="B18:D18"/>
    <mergeCell ref="A4:D6"/>
    <mergeCell ref="E4:N4"/>
    <mergeCell ref="M5:N5"/>
    <mergeCell ref="A7:D7"/>
    <mergeCell ref="E5:F5"/>
    <mergeCell ref="G5:H5"/>
    <mergeCell ref="I5:J5"/>
    <mergeCell ref="A1:N1"/>
    <mergeCell ref="K5:L5"/>
    <mergeCell ref="A2:N2"/>
    <mergeCell ref="B8:D8"/>
    <mergeCell ref="C17:D17"/>
  </mergeCells>
  <phoneticPr fontId="0" type="noConversion"/>
  <printOptions horizontalCentered="1"/>
  <pageMargins left="0.36" right="0.1" top="0.66" bottom="0.1" header="0.61" footer="0.1"/>
  <pageSetup paperSize="9" orientation="landscape" blackAndWhite="1" r:id="rId1"/>
  <headerFooter alignWithMargins="0"/>
</worksheet>
</file>

<file path=xl/worksheets/sheet33.xml><?xml version="1.0" encoding="utf-8"?>
<worksheet xmlns="http://schemas.openxmlformats.org/spreadsheetml/2006/main" xmlns:r="http://schemas.openxmlformats.org/officeDocument/2006/relationships">
  <sheetPr codeName="Sheet31"/>
  <dimension ref="A1:Q30"/>
  <sheetViews>
    <sheetView workbookViewId="0">
      <selection activeCell="M20" sqref="M20:N20"/>
    </sheetView>
  </sheetViews>
  <sheetFormatPr defaultRowHeight="12.75"/>
  <cols>
    <col min="1" max="1" width="3.140625" style="128" customWidth="1"/>
    <col min="2" max="3" width="9.140625" style="128"/>
    <col min="4" max="4" width="29" style="128" customWidth="1"/>
    <col min="5" max="14" width="8.140625" style="128" customWidth="1"/>
    <col min="15" max="16384" width="9.140625" style="128"/>
  </cols>
  <sheetData>
    <row r="1" spans="1:17" ht="15" customHeight="1">
      <c r="A1" s="1825" t="s">
        <v>771</v>
      </c>
      <c r="B1" s="1825"/>
      <c r="C1" s="1825"/>
      <c r="D1" s="1825"/>
      <c r="E1" s="1825"/>
      <c r="F1" s="1825"/>
      <c r="G1" s="1825"/>
      <c r="H1" s="1825"/>
      <c r="I1" s="1825"/>
      <c r="J1" s="1825"/>
      <c r="K1" s="1825"/>
      <c r="L1" s="1825"/>
      <c r="M1" s="1825"/>
      <c r="N1" s="1825"/>
    </row>
    <row r="2" spans="1:17" ht="33.75" customHeight="1">
      <c r="A2" s="1853" t="str">
        <f>CONCATENATE("Students by sex in different type of Special and Non-formal Educational Institutions 
in the district of ",District!A1)</f>
        <v>Students by sex in different type of Special and Non-formal Educational Institutions 
in the district of Purba Medinipur</v>
      </c>
      <c r="B2" s="1853"/>
      <c r="C2" s="1853"/>
      <c r="D2" s="1853"/>
      <c r="E2" s="1853"/>
      <c r="F2" s="1853"/>
      <c r="G2" s="1853"/>
      <c r="H2" s="1853"/>
      <c r="I2" s="1853"/>
      <c r="J2" s="1853"/>
      <c r="K2" s="1853"/>
      <c r="L2" s="1853"/>
      <c r="M2" s="1853"/>
      <c r="N2" s="1853"/>
    </row>
    <row r="3" spans="1:17" ht="15" customHeight="1">
      <c r="A3" s="150"/>
      <c r="B3" s="150"/>
      <c r="C3" s="1017"/>
      <c r="D3" s="1017"/>
      <c r="E3" s="1017"/>
      <c r="F3" s="1017"/>
      <c r="G3" s="1017"/>
      <c r="H3" s="1017"/>
      <c r="I3" s="1017"/>
      <c r="J3" s="1017"/>
      <c r="K3" s="1017"/>
      <c r="L3" s="1017"/>
      <c r="M3" s="2093" t="s">
        <v>1001</v>
      </c>
      <c r="N3" s="2093"/>
    </row>
    <row r="4" spans="1:17" ht="16.5" customHeight="1">
      <c r="A4" s="1866" t="s">
        <v>436</v>
      </c>
      <c r="B4" s="2046"/>
      <c r="C4" s="2046"/>
      <c r="D4" s="1906"/>
      <c r="E4" s="2048" t="s">
        <v>899</v>
      </c>
      <c r="F4" s="2049"/>
      <c r="G4" s="2049"/>
      <c r="H4" s="2049"/>
      <c r="I4" s="2049"/>
      <c r="J4" s="2049"/>
      <c r="K4" s="2049"/>
      <c r="L4" s="2049"/>
      <c r="M4" s="2049"/>
      <c r="N4" s="2050"/>
    </row>
    <row r="5" spans="1:17" ht="15" customHeight="1">
      <c r="A5" s="1859"/>
      <c r="B5" s="2088"/>
      <c r="C5" s="2088"/>
      <c r="D5" s="2089"/>
      <c r="E5" s="1829" t="s">
        <v>1356</v>
      </c>
      <c r="F5" s="1828"/>
      <c r="G5" s="1829" t="s">
        <v>306</v>
      </c>
      <c r="H5" s="1828"/>
      <c r="I5" s="1829" t="s">
        <v>1357</v>
      </c>
      <c r="J5" s="1828"/>
      <c r="K5" s="1829" t="s">
        <v>628</v>
      </c>
      <c r="L5" s="1828"/>
      <c r="M5" s="1829" t="s">
        <v>1639</v>
      </c>
      <c r="N5" s="1828"/>
    </row>
    <row r="6" spans="1:17" ht="13.5" customHeight="1">
      <c r="A6" s="1860"/>
      <c r="B6" s="2047"/>
      <c r="C6" s="2047"/>
      <c r="D6" s="1907"/>
      <c r="E6" s="162" t="s">
        <v>1040</v>
      </c>
      <c r="F6" s="162" t="s">
        <v>1041</v>
      </c>
      <c r="G6" s="164" t="s">
        <v>1040</v>
      </c>
      <c r="H6" s="163" t="s">
        <v>1041</v>
      </c>
      <c r="I6" s="162" t="s">
        <v>1040</v>
      </c>
      <c r="J6" s="162" t="s">
        <v>1041</v>
      </c>
      <c r="K6" s="164" t="s">
        <v>1040</v>
      </c>
      <c r="L6" s="163" t="s">
        <v>1041</v>
      </c>
      <c r="M6" s="164" t="s">
        <v>1040</v>
      </c>
      <c r="N6" s="163" t="s">
        <v>1041</v>
      </c>
    </row>
    <row r="7" spans="1:17" ht="12.75" customHeight="1">
      <c r="A7" s="2094" t="s">
        <v>955</v>
      </c>
      <c r="B7" s="2095"/>
      <c r="C7" s="2095"/>
      <c r="D7" s="2095"/>
      <c r="E7" s="137" t="s">
        <v>956</v>
      </c>
      <c r="F7" s="135" t="s">
        <v>957</v>
      </c>
      <c r="G7" s="137" t="s">
        <v>958</v>
      </c>
      <c r="H7" s="136" t="s">
        <v>959</v>
      </c>
      <c r="I7" s="135" t="s">
        <v>961</v>
      </c>
      <c r="J7" s="135" t="s">
        <v>962</v>
      </c>
      <c r="K7" s="137" t="s">
        <v>990</v>
      </c>
      <c r="L7" s="136" t="s">
        <v>991</v>
      </c>
      <c r="M7" s="137" t="s">
        <v>992</v>
      </c>
      <c r="N7" s="136" t="s">
        <v>993</v>
      </c>
    </row>
    <row r="8" spans="1:17" ht="18" customHeight="1">
      <c r="A8" s="644" t="s">
        <v>1489</v>
      </c>
      <c r="B8" s="2080" t="s">
        <v>1366</v>
      </c>
      <c r="C8" s="2081"/>
      <c r="D8" s="2082"/>
      <c r="E8" s="1592">
        <v>58262</v>
      </c>
      <c r="F8" s="1593">
        <v>57885</v>
      </c>
      <c r="G8" s="1592">
        <v>58284</v>
      </c>
      <c r="H8" s="1593">
        <v>60990</v>
      </c>
      <c r="I8" s="1592">
        <v>53222</v>
      </c>
      <c r="J8" s="1593">
        <v>52708</v>
      </c>
      <c r="K8" s="1592">
        <v>58236</v>
      </c>
      <c r="L8" s="1593">
        <v>57590</v>
      </c>
      <c r="M8" s="117">
        <v>45569</v>
      </c>
      <c r="N8" s="102">
        <v>46096</v>
      </c>
      <c r="P8" s="115"/>
      <c r="Q8" s="115"/>
    </row>
    <row r="9" spans="1:17" ht="18" customHeight="1">
      <c r="A9" s="644" t="s">
        <v>1490</v>
      </c>
      <c r="B9" s="2065" t="s">
        <v>1291</v>
      </c>
      <c r="C9" s="2066"/>
      <c r="D9" s="2067"/>
      <c r="E9" s="454">
        <v>12164</v>
      </c>
      <c r="F9" s="447">
        <v>13382</v>
      </c>
      <c r="G9" s="454">
        <v>12867</v>
      </c>
      <c r="H9" s="447">
        <v>13792</v>
      </c>
      <c r="I9" s="454">
        <v>11031</v>
      </c>
      <c r="J9" s="447">
        <v>12497</v>
      </c>
      <c r="K9" s="454">
        <v>12083</v>
      </c>
      <c r="L9" s="447">
        <v>14213</v>
      </c>
      <c r="M9" s="454">
        <v>11864</v>
      </c>
      <c r="N9" s="447">
        <v>13263</v>
      </c>
      <c r="P9" s="115"/>
      <c r="Q9" s="115"/>
    </row>
    <row r="10" spans="1:17" ht="18" customHeight="1">
      <c r="A10" s="644" t="s">
        <v>1491</v>
      </c>
      <c r="B10" s="2065" t="s">
        <v>1375</v>
      </c>
      <c r="C10" s="2066"/>
      <c r="D10" s="2067"/>
      <c r="E10" s="455" t="s">
        <v>1384</v>
      </c>
      <c r="F10" s="146" t="s">
        <v>1384</v>
      </c>
      <c r="G10" s="455" t="s">
        <v>1384</v>
      </c>
      <c r="H10" s="146" t="s">
        <v>1384</v>
      </c>
      <c r="I10" s="125" t="s">
        <v>1384</v>
      </c>
      <c r="J10" s="124" t="s">
        <v>1384</v>
      </c>
      <c r="K10" s="125" t="s">
        <v>1384</v>
      </c>
      <c r="L10" s="124" t="s">
        <v>1384</v>
      </c>
      <c r="M10" s="125" t="s">
        <v>1384</v>
      </c>
      <c r="N10" s="124" t="s">
        <v>1384</v>
      </c>
      <c r="P10" s="115"/>
      <c r="Q10" s="115"/>
    </row>
    <row r="11" spans="1:17" ht="18" customHeight="1">
      <c r="A11" s="644" t="s">
        <v>1492</v>
      </c>
      <c r="B11" s="2065" t="s">
        <v>163</v>
      </c>
      <c r="C11" s="2066"/>
      <c r="D11" s="2067"/>
      <c r="E11" s="1592">
        <v>430</v>
      </c>
      <c r="F11" s="1593">
        <v>455</v>
      </c>
      <c r="G11" s="1592">
        <v>428</v>
      </c>
      <c r="H11" s="1593">
        <v>465</v>
      </c>
      <c r="I11" s="1592">
        <v>327</v>
      </c>
      <c r="J11" s="1593">
        <v>367</v>
      </c>
      <c r="K11" s="1592">
        <v>290</v>
      </c>
      <c r="L11" s="1593">
        <v>249</v>
      </c>
      <c r="M11" s="117">
        <v>274</v>
      </c>
      <c r="N11" s="102">
        <v>319</v>
      </c>
      <c r="P11" s="115"/>
      <c r="Q11" s="115"/>
    </row>
    <row r="12" spans="1:17" ht="18" customHeight="1">
      <c r="A12" s="644" t="s">
        <v>1493</v>
      </c>
      <c r="B12" s="2065" t="s">
        <v>1606</v>
      </c>
      <c r="C12" s="2066"/>
      <c r="D12" s="2067"/>
      <c r="E12" s="1592">
        <v>3349</v>
      </c>
      <c r="F12" s="1593">
        <v>589</v>
      </c>
      <c r="G12" s="1592">
        <v>3343</v>
      </c>
      <c r="H12" s="1593">
        <v>589</v>
      </c>
      <c r="I12" s="1592">
        <v>3343</v>
      </c>
      <c r="J12" s="1593">
        <v>589</v>
      </c>
      <c r="K12" s="1592">
        <v>2888</v>
      </c>
      <c r="L12" s="1593">
        <v>982</v>
      </c>
      <c r="M12" s="117">
        <v>2932</v>
      </c>
      <c r="N12" s="102">
        <v>991</v>
      </c>
      <c r="P12" s="115"/>
      <c r="Q12" s="115"/>
    </row>
    <row r="13" spans="1:17" ht="18" customHeight="1">
      <c r="A13" s="644" t="s">
        <v>1494</v>
      </c>
      <c r="B13" s="2065" t="s">
        <v>1376</v>
      </c>
      <c r="C13" s="2066"/>
      <c r="D13" s="2067"/>
      <c r="E13" s="104" t="s">
        <v>1384</v>
      </c>
      <c r="F13" s="124" t="s">
        <v>1384</v>
      </c>
      <c r="G13" s="104" t="s">
        <v>1384</v>
      </c>
      <c r="H13" s="124" t="s">
        <v>1384</v>
      </c>
      <c r="I13" s="104" t="s">
        <v>1384</v>
      </c>
      <c r="J13" s="124" t="s">
        <v>1384</v>
      </c>
      <c r="K13" s="104" t="s">
        <v>1384</v>
      </c>
      <c r="L13" s="124" t="s">
        <v>1384</v>
      </c>
      <c r="M13" s="104" t="s">
        <v>1384</v>
      </c>
      <c r="N13" s="124" t="s">
        <v>1384</v>
      </c>
      <c r="P13" s="115"/>
      <c r="Q13" s="115"/>
    </row>
    <row r="14" spans="1:17" ht="26.25" customHeight="1">
      <c r="A14" s="644" t="s">
        <v>1495</v>
      </c>
      <c r="B14" s="2068" t="s">
        <v>606</v>
      </c>
      <c r="C14" s="2069"/>
      <c r="D14" s="2070"/>
      <c r="E14" s="1592">
        <v>1234</v>
      </c>
      <c r="F14" s="1593">
        <v>340</v>
      </c>
      <c r="G14" s="1592">
        <v>1238</v>
      </c>
      <c r="H14" s="1593">
        <v>340</v>
      </c>
      <c r="I14" s="1592">
        <v>1240</v>
      </c>
      <c r="J14" s="1593">
        <v>340</v>
      </c>
      <c r="K14" s="1592">
        <v>903</v>
      </c>
      <c r="L14" s="1593">
        <v>690</v>
      </c>
      <c r="M14" s="117">
        <v>386</v>
      </c>
      <c r="N14" s="102">
        <v>276</v>
      </c>
      <c r="P14" s="115"/>
      <c r="Q14" s="115"/>
    </row>
    <row r="15" spans="1:17" ht="18" customHeight="1">
      <c r="A15" s="644" t="s">
        <v>1496</v>
      </c>
      <c r="B15" s="2065" t="s">
        <v>1377</v>
      </c>
      <c r="C15" s="2066"/>
      <c r="D15" s="2067"/>
      <c r="E15" s="460" t="s">
        <v>1384</v>
      </c>
      <c r="F15" s="146" t="s">
        <v>1384</v>
      </c>
      <c r="G15" s="460" t="s">
        <v>1384</v>
      </c>
      <c r="H15" s="146" t="s">
        <v>1384</v>
      </c>
      <c r="I15" s="104" t="s">
        <v>1384</v>
      </c>
      <c r="J15" s="124" t="s">
        <v>1384</v>
      </c>
      <c r="K15" s="104" t="s">
        <v>1384</v>
      </c>
      <c r="L15" s="124" t="s">
        <v>1384</v>
      </c>
      <c r="M15" s="104" t="s">
        <v>1384</v>
      </c>
      <c r="N15" s="124" t="s">
        <v>1384</v>
      </c>
      <c r="P15" s="115"/>
      <c r="Q15" s="115"/>
    </row>
    <row r="16" spans="1:17" ht="18" customHeight="1">
      <c r="A16" s="644" t="s">
        <v>171</v>
      </c>
      <c r="B16" s="2065" t="s">
        <v>1378</v>
      </c>
      <c r="C16" s="2066"/>
      <c r="D16" s="2067"/>
      <c r="E16" s="1592">
        <v>73868</v>
      </c>
      <c r="F16" s="1593">
        <v>72256</v>
      </c>
      <c r="G16" s="1592">
        <v>104235</v>
      </c>
      <c r="H16" s="1593">
        <v>100408</v>
      </c>
      <c r="I16" s="1592">
        <v>96863</v>
      </c>
      <c r="J16" s="1593">
        <v>93776</v>
      </c>
      <c r="K16" s="1592">
        <v>94627</v>
      </c>
      <c r="L16" s="1593">
        <v>94805</v>
      </c>
      <c r="M16" s="117">
        <v>103267</v>
      </c>
      <c r="N16" s="102">
        <v>99503</v>
      </c>
      <c r="P16" s="115"/>
      <c r="Q16" s="115"/>
    </row>
    <row r="17" spans="1:17" ht="18" customHeight="1">
      <c r="A17" s="644" t="s">
        <v>172</v>
      </c>
      <c r="B17" s="2065" t="s">
        <v>1379</v>
      </c>
      <c r="C17" s="2066"/>
      <c r="D17" s="2067"/>
      <c r="E17" s="1592">
        <v>525</v>
      </c>
      <c r="F17" s="1593">
        <v>150</v>
      </c>
      <c r="G17" s="1592">
        <v>525</v>
      </c>
      <c r="H17" s="1593">
        <v>150</v>
      </c>
      <c r="I17" s="1592">
        <v>525</v>
      </c>
      <c r="J17" s="1593">
        <v>150</v>
      </c>
      <c r="K17" s="1592">
        <v>269</v>
      </c>
      <c r="L17" s="1593">
        <v>75</v>
      </c>
      <c r="M17" s="117">
        <v>227</v>
      </c>
      <c r="N17" s="102">
        <v>75</v>
      </c>
      <c r="P17" s="115"/>
      <c r="Q17" s="115"/>
    </row>
    <row r="18" spans="1:17" ht="39.75" customHeight="1">
      <c r="A18" s="644" t="s">
        <v>173</v>
      </c>
      <c r="B18" s="2068" t="s">
        <v>607</v>
      </c>
      <c r="C18" s="2069"/>
      <c r="D18" s="2070"/>
      <c r="E18" s="354" t="s">
        <v>1384</v>
      </c>
      <c r="F18" s="112" t="s">
        <v>1384</v>
      </c>
      <c r="G18" s="125" t="s">
        <v>1384</v>
      </c>
      <c r="H18" s="124" t="s">
        <v>1384</v>
      </c>
      <c r="I18" s="104" t="s">
        <v>1384</v>
      </c>
      <c r="J18" s="124" t="s">
        <v>1384</v>
      </c>
      <c r="K18" s="104" t="s">
        <v>1384</v>
      </c>
      <c r="L18" s="124" t="s">
        <v>1384</v>
      </c>
      <c r="M18" s="104" t="s">
        <v>1384</v>
      </c>
      <c r="N18" s="124" t="s">
        <v>1384</v>
      </c>
      <c r="P18" s="115"/>
      <c r="Q18" s="115"/>
    </row>
    <row r="19" spans="1:17" ht="16.5" customHeight="1">
      <c r="A19" s="644" t="s">
        <v>174</v>
      </c>
      <c r="B19" s="2071" t="s">
        <v>862</v>
      </c>
      <c r="C19" s="2072"/>
      <c r="D19" s="2073"/>
      <c r="E19" s="354" t="s">
        <v>1384</v>
      </c>
      <c r="F19" s="112" t="s">
        <v>1384</v>
      </c>
      <c r="G19" s="125" t="s">
        <v>1384</v>
      </c>
      <c r="H19" s="124" t="s">
        <v>1384</v>
      </c>
      <c r="I19" s="104" t="s">
        <v>1384</v>
      </c>
      <c r="J19" s="124" t="s">
        <v>1384</v>
      </c>
      <c r="K19" s="104" t="s">
        <v>1384</v>
      </c>
      <c r="L19" s="124" t="s">
        <v>1384</v>
      </c>
      <c r="M19" s="104" t="s">
        <v>1384</v>
      </c>
      <c r="N19" s="124" t="s">
        <v>1384</v>
      </c>
      <c r="P19" s="115"/>
      <c r="Q19" s="115"/>
    </row>
    <row r="20" spans="1:17" ht="18" customHeight="1">
      <c r="A20" s="52"/>
      <c r="B20" s="2077" t="s">
        <v>979</v>
      </c>
      <c r="C20" s="2077"/>
      <c r="D20" s="1947"/>
      <c r="E20" s="1594">
        <f t="shared" ref="E20:J20" si="0">IF(SUM(E8:E19)=0,"..",SUM(E8:E19))</f>
        <v>149832</v>
      </c>
      <c r="F20" s="1595">
        <f t="shared" si="0"/>
        <v>145057</v>
      </c>
      <c r="G20" s="1594">
        <f t="shared" si="0"/>
        <v>180920</v>
      </c>
      <c r="H20" s="1595">
        <f t="shared" si="0"/>
        <v>176734</v>
      </c>
      <c r="I20" s="1594">
        <f t="shared" si="0"/>
        <v>166551</v>
      </c>
      <c r="J20" s="1595">
        <f t="shared" si="0"/>
        <v>160427</v>
      </c>
      <c r="K20" s="1594">
        <f>IF(SUM(K8:K19)=0,"..",SUM(K8:K19))</f>
        <v>169296</v>
      </c>
      <c r="L20" s="1595">
        <f>IF(SUM(L8:L19)=0,"..",SUM(L8:L19))</f>
        <v>168604</v>
      </c>
      <c r="M20" s="276">
        <f>IF(SUM(M8:M19)=0,"..",SUM(M8:M19))</f>
        <v>164519</v>
      </c>
      <c r="N20" s="139">
        <f>IF(SUM(N8:N19)=0,"..",SUM(N8:N19))</f>
        <v>160523</v>
      </c>
      <c r="P20" s="115"/>
      <c r="Q20" s="115"/>
    </row>
    <row r="21" spans="1:17" ht="12" customHeight="1">
      <c r="A21" s="228"/>
      <c r="B21" s="228"/>
      <c r="C21" s="228"/>
      <c r="D21" s="228"/>
      <c r="E21" s="228"/>
      <c r="F21" s="228"/>
      <c r="I21" s="1185" t="s">
        <v>1525</v>
      </c>
      <c r="J21" s="1478" t="s">
        <v>1380</v>
      </c>
      <c r="K21" s="1317"/>
      <c r="L21" s="1479"/>
      <c r="M21" s="228"/>
      <c r="N21" s="228"/>
    </row>
    <row r="22" spans="1:17" ht="12" customHeight="1">
      <c r="A22" s="228"/>
      <c r="B22" s="228"/>
      <c r="C22" s="228"/>
      <c r="D22" s="228"/>
      <c r="E22" s="228"/>
      <c r="F22" s="228"/>
      <c r="I22" s="1317"/>
      <c r="J22" s="1478" t="s">
        <v>1381</v>
      </c>
      <c r="K22" s="1317"/>
      <c r="L22" s="1479"/>
      <c r="M22" s="228"/>
      <c r="N22" s="228"/>
    </row>
    <row r="23" spans="1:17" ht="12" customHeight="1">
      <c r="A23" s="228"/>
      <c r="B23" s="228"/>
      <c r="C23" s="228"/>
      <c r="D23" s="228"/>
      <c r="E23" s="228"/>
      <c r="F23" s="228"/>
      <c r="I23" s="1317"/>
      <c r="J23" s="1478" t="s">
        <v>1187</v>
      </c>
      <c r="K23" s="1317"/>
      <c r="L23" s="1479"/>
      <c r="M23" s="228"/>
      <c r="N23" s="228"/>
    </row>
    <row r="24" spans="1:17" ht="12" customHeight="1">
      <c r="A24" s="228"/>
      <c r="B24" s="228"/>
      <c r="C24" s="228"/>
      <c r="D24" s="228"/>
      <c r="E24" s="228"/>
      <c r="F24" s="228"/>
      <c r="I24" s="1317"/>
      <c r="J24" s="1478" t="s">
        <v>1382</v>
      </c>
      <c r="K24" s="1317"/>
      <c r="L24" s="1479"/>
      <c r="M24" s="228"/>
      <c r="N24" s="228"/>
    </row>
    <row r="25" spans="1:17" ht="12" customHeight="1">
      <c r="A25" s="228"/>
      <c r="B25" s="228"/>
      <c r="C25" s="228"/>
      <c r="D25" s="228"/>
      <c r="E25" s="228"/>
      <c r="F25" s="228"/>
      <c r="I25" s="1317"/>
      <c r="J25" s="1478" t="s">
        <v>103</v>
      </c>
      <c r="K25" s="1317"/>
      <c r="L25" s="1479"/>
      <c r="M25" s="228"/>
      <c r="N25" s="228"/>
    </row>
    <row r="26" spans="1:17" ht="12" customHeight="1">
      <c r="A26" s="228"/>
      <c r="B26" s="228"/>
      <c r="C26" s="228"/>
      <c r="D26" s="228"/>
      <c r="E26" s="228"/>
      <c r="F26" s="228"/>
      <c r="I26" s="1317"/>
      <c r="J26" s="1478" t="s">
        <v>1318</v>
      </c>
      <c r="K26" s="1317"/>
      <c r="L26" s="1479"/>
      <c r="M26" s="228"/>
      <c r="N26" s="228"/>
    </row>
    <row r="27" spans="1:17" ht="12" customHeight="1">
      <c r="A27" s="228"/>
      <c r="B27" s="228"/>
      <c r="C27" s="228"/>
      <c r="D27" s="228"/>
      <c r="E27" s="228"/>
      <c r="F27" s="228"/>
      <c r="I27" s="1317"/>
      <c r="J27" s="1478" t="s">
        <v>1407</v>
      </c>
      <c r="K27" s="1317"/>
      <c r="L27" s="1479"/>
      <c r="M27" s="228"/>
      <c r="N27" s="228"/>
    </row>
    <row r="28" spans="1:17" ht="12" customHeight="1">
      <c r="A28" s="228"/>
      <c r="B28" s="228"/>
      <c r="C28" s="228"/>
      <c r="D28" s="228"/>
      <c r="E28" s="228"/>
      <c r="F28" s="228"/>
      <c r="I28" s="1317"/>
      <c r="J28" s="1478" t="s">
        <v>142</v>
      </c>
      <c r="K28" s="1317"/>
      <c r="L28" s="1479"/>
      <c r="M28" s="228"/>
      <c r="N28" s="228"/>
    </row>
    <row r="29" spans="1:17">
      <c r="A29" s="228"/>
      <c r="B29" s="228"/>
      <c r="C29" s="228"/>
      <c r="D29" s="228"/>
      <c r="E29" s="228"/>
      <c r="F29" s="228"/>
      <c r="G29" s="228"/>
      <c r="H29" s="228"/>
      <c r="I29" s="228"/>
      <c r="J29" s="228"/>
      <c r="K29" s="228"/>
      <c r="L29" s="228"/>
      <c r="M29" s="228"/>
      <c r="N29" s="228"/>
    </row>
    <row r="30" spans="1:17">
      <c r="A30" s="228"/>
      <c r="B30" s="228"/>
      <c r="C30" s="228"/>
      <c r="D30" s="228"/>
      <c r="E30" s="228"/>
      <c r="F30" s="228"/>
      <c r="G30" s="228"/>
      <c r="H30" s="228"/>
      <c r="I30" s="228"/>
      <c r="J30" s="228"/>
      <c r="K30" s="228"/>
      <c r="L30" s="228"/>
      <c r="M30" s="228"/>
      <c r="N30" s="228"/>
    </row>
  </sheetData>
  <mergeCells count="24">
    <mergeCell ref="B13:D13"/>
    <mergeCell ref="B12:D12"/>
    <mergeCell ref="B20:D20"/>
    <mergeCell ref="B18:D18"/>
    <mergeCell ref="B19:D19"/>
    <mergeCell ref="B14:D14"/>
    <mergeCell ref="B15:D15"/>
    <mergeCell ref="B16:D16"/>
    <mergeCell ref="B17:D17"/>
    <mergeCell ref="B11:D11"/>
    <mergeCell ref="A4:D6"/>
    <mergeCell ref="B10:D10"/>
    <mergeCell ref="B9:D9"/>
    <mergeCell ref="B8:D8"/>
    <mergeCell ref="A7:D7"/>
    <mergeCell ref="A2:N2"/>
    <mergeCell ref="A1:N1"/>
    <mergeCell ref="K5:L5"/>
    <mergeCell ref="M3:N3"/>
    <mergeCell ref="E4:N4"/>
    <mergeCell ref="I5:J5"/>
    <mergeCell ref="G5:H5"/>
    <mergeCell ref="E5:F5"/>
    <mergeCell ref="M5:N5"/>
  </mergeCells>
  <phoneticPr fontId="0" type="noConversion"/>
  <printOptions horizontalCentered="1"/>
  <pageMargins left="0.56000000000000005" right="0.1" top="0.75" bottom="0.1" header="0.16" footer="0.1"/>
  <pageSetup paperSize="9" orientation="landscape" blackAndWhite="1" r:id="rId1"/>
  <headerFooter alignWithMargins="0"/>
</worksheet>
</file>

<file path=xl/worksheets/sheet34.xml><?xml version="1.0" encoding="utf-8"?>
<worksheet xmlns="http://schemas.openxmlformats.org/spreadsheetml/2006/main" xmlns:r="http://schemas.openxmlformats.org/officeDocument/2006/relationships">
  <sheetPr codeName="Sheet32"/>
  <dimension ref="A1:M42"/>
  <sheetViews>
    <sheetView topLeftCell="A16" workbookViewId="0">
      <selection activeCell="I29" sqref="I29"/>
    </sheetView>
  </sheetViews>
  <sheetFormatPr defaultRowHeight="12.75"/>
  <cols>
    <col min="1" max="1" width="2.28515625" customWidth="1"/>
    <col min="2" max="2" width="2.85546875" customWidth="1"/>
    <col min="3" max="3" width="0.7109375" customWidth="1"/>
    <col min="4" max="4" width="48.5703125" customWidth="1"/>
    <col min="5" max="9" width="15.28515625" customWidth="1"/>
  </cols>
  <sheetData>
    <row r="1" spans="1:13" ht="12.75" customHeight="1">
      <c r="A1" s="1893" t="s">
        <v>770</v>
      </c>
      <c r="B1" s="1893"/>
      <c r="C1" s="1893"/>
      <c r="D1" s="1893"/>
      <c r="E1" s="1893"/>
      <c r="F1" s="1893"/>
      <c r="G1" s="1893"/>
      <c r="H1" s="1893"/>
      <c r="I1" s="1893"/>
    </row>
    <row r="2" spans="1:13" ht="15" customHeight="1">
      <c r="A2" s="2078" t="str">
        <f>CONCATENATE("Teachers in different type of General Educational Institutions in the district of ",District!A1)</f>
        <v>Teachers in different type of General Educational Institutions in the district of Purba Medinipur</v>
      </c>
      <c r="B2" s="2078"/>
      <c r="C2" s="2078"/>
      <c r="D2" s="2078"/>
      <c r="E2" s="2078"/>
      <c r="F2" s="2078"/>
      <c r="G2" s="2078"/>
      <c r="H2" s="2078"/>
      <c r="I2" s="2078"/>
    </row>
    <row r="3" spans="1:13" ht="12.75" customHeight="1">
      <c r="A3" s="7"/>
      <c r="B3" s="7"/>
      <c r="C3" s="7"/>
      <c r="D3" s="7"/>
      <c r="E3" s="345"/>
      <c r="F3" s="345"/>
      <c r="G3" s="345"/>
      <c r="H3" s="345"/>
      <c r="I3" s="204" t="s">
        <v>1001</v>
      </c>
    </row>
    <row r="4" spans="1:13" ht="14.25" customHeight="1">
      <c r="A4" s="1866" t="s">
        <v>436</v>
      </c>
      <c r="B4" s="2046"/>
      <c r="C4" s="2046"/>
      <c r="D4" s="1906"/>
      <c r="E4" s="2100" t="s">
        <v>899</v>
      </c>
      <c r="F4" s="2101"/>
      <c r="G4" s="2101"/>
      <c r="H4" s="2101"/>
      <c r="I4" s="2102"/>
    </row>
    <row r="5" spans="1:13" ht="12.75" customHeight="1">
      <c r="A5" s="1860"/>
      <c r="B5" s="2047"/>
      <c r="C5" s="2047"/>
      <c r="D5" s="1907"/>
      <c r="E5" s="234" t="s">
        <v>1688</v>
      </c>
      <c r="F5" s="456" t="s">
        <v>1047</v>
      </c>
      <c r="G5" s="1783" t="s">
        <v>629</v>
      </c>
      <c r="H5" s="1783" t="s">
        <v>1689</v>
      </c>
      <c r="I5" s="1629" t="s">
        <v>1639</v>
      </c>
    </row>
    <row r="6" spans="1:13" ht="15" customHeight="1">
      <c r="A6" s="2094" t="s">
        <v>955</v>
      </c>
      <c r="B6" s="2095"/>
      <c r="C6" s="2095"/>
      <c r="D6" s="2099"/>
      <c r="E6" s="135" t="s">
        <v>956</v>
      </c>
      <c r="F6" s="134" t="s">
        <v>957</v>
      </c>
      <c r="G6" s="135" t="s">
        <v>958</v>
      </c>
      <c r="H6" s="134" t="s">
        <v>959</v>
      </c>
      <c r="I6" s="134" t="s">
        <v>961</v>
      </c>
    </row>
    <row r="7" spans="1:13" ht="15" customHeight="1">
      <c r="A7" s="752" t="s">
        <v>1489</v>
      </c>
      <c r="B7" s="2096" t="s">
        <v>832</v>
      </c>
      <c r="C7" s="2097"/>
      <c r="D7" s="2098"/>
      <c r="E7" s="322">
        <f>SUM(E8,E13,E18,E23)</f>
        <v>18392</v>
      </c>
      <c r="F7" s="322">
        <f>SUM(F8,F13,F18,F23)</f>
        <v>21040</v>
      </c>
      <c r="G7" s="322">
        <f>SUM(G8,G13,G18,G23)</f>
        <v>20929</v>
      </c>
      <c r="H7" s="322">
        <f>SUM(H8,H13,H18,H23)</f>
        <v>24320</v>
      </c>
      <c r="I7" s="322">
        <f>SUM(I8,I13,I18,I23)</f>
        <v>24559</v>
      </c>
      <c r="K7" s="1626"/>
    </row>
    <row r="8" spans="1:13" ht="25.5" customHeight="1">
      <c r="A8" s="530"/>
      <c r="B8" s="865" t="s">
        <v>1313</v>
      </c>
      <c r="C8" s="2041" t="s">
        <v>1189</v>
      </c>
      <c r="D8" s="2042"/>
      <c r="E8" s="310">
        <f>SUM(E9:E12)</f>
        <v>9162</v>
      </c>
      <c r="F8" s="310">
        <f>SUM(F9:F12)</f>
        <v>9082</v>
      </c>
      <c r="G8" s="310">
        <f>SUM(G9:G12)</f>
        <v>8954</v>
      </c>
      <c r="H8" s="310">
        <f>SUM(H9:H12)</f>
        <v>12067</v>
      </c>
      <c r="I8" s="310">
        <f>SUM(I9:I12)</f>
        <v>11981</v>
      </c>
      <c r="K8" s="1626"/>
      <c r="M8" s="6"/>
    </row>
    <row r="9" spans="1:13" ht="13.5" customHeight="1">
      <c r="A9" s="530"/>
      <c r="B9" s="530"/>
      <c r="C9" s="531"/>
      <c r="D9" s="440" t="s">
        <v>1309</v>
      </c>
      <c r="E9" s="86">
        <v>9162</v>
      </c>
      <c r="F9" s="86">
        <v>9082</v>
      </c>
      <c r="G9" s="86">
        <v>8954</v>
      </c>
      <c r="H9" s="86">
        <v>12067</v>
      </c>
      <c r="I9" s="86">
        <v>11981</v>
      </c>
      <c r="K9" s="1626"/>
    </row>
    <row r="10" spans="1:13" ht="13.5" customHeight="1">
      <c r="A10" s="530"/>
      <c r="B10" s="530"/>
      <c r="C10" s="531"/>
      <c r="D10" s="440" t="s">
        <v>1310</v>
      </c>
      <c r="E10" s="112" t="s">
        <v>1384</v>
      </c>
      <c r="F10" s="124" t="s">
        <v>1384</v>
      </c>
      <c r="G10" s="124" t="s">
        <v>1384</v>
      </c>
      <c r="H10" s="124" t="s">
        <v>1384</v>
      </c>
      <c r="I10" s="124" t="s">
        <v>1384</v>
      </c>
      <c r="K10" s="1626"/>
    </row>
    <row r="11" spans="1:13" ht="13.5" customHeight="1">
      <c r="A11" s="530"/>
      <c r="B11" s="530"/>
      <c r="C11" s="531"/>
      <c r="D11" s="440" t="s">
        <v>1319</v>
      </c>
      <c r="E11" s="112" t="s">
        <v>1384</v>
      </c>
      <c r="F11" s="124" t="s">
        <v>1384</v>
      </c>
      <c r="G11" s="124" t="s">
        <v>1384</v>
      </c>
      <c r="H11" s="124" t="s">
        <v>1384</v>
      </c>
      <c r="I11" s="124" t="s">
        <v>1384</v>
      </c>
      <c r="K11" s="1626"/>
    </row>
    <row r="12" spans="1:13" ht="13.5" customHeight="1">
      <c r="A12" s="530"/>
      <c r="B12" s="530"/>
      <c r="C12" s="531"/>
      <c r="D12" s="440" t="s">
        <v>1037</v>
      </c>
      <c r="E12" s="112" t="s">
        <v>1384</v>
      </c>
      <c r="F12" s="124" t="s">
        <v>1384</v>
      </c>
      <c r="G12" s="124" t="s">
        <v>1384</v>
      </c>
      <c r="H12" s="124" t="s">
        <v>1384</v>
      </c>
      <c r="I12" s="124" t="s">
        <v>1384</v>
      </c>
      <c r="K12" s="1626"/>
    </row>
    <row r="13" spans="1:13" ht="25.5" customHeight="1">
      <c r="A13" s="530"/>
      <c r="B13" s="865" t="s">
        <v>1311</v>
      </c>
      <c r="C13" s="2041" t="s">
        <v>1190</v>
      </c>
      <c r="D13" s="2042"/>
      <c r="E13" s="310">
        <f>SUM(E14:E17)</f>
        <v>344</v>
      </c>
      <c r="F13" s="310">
        <f>SUM(F14:F17)</f>
        <v>578</v>
      </c>
      <c r="G13" s="310">
        <f>SUM(G14:G17)</f>
        <v>582</v>
      </c>
      <c r="H13" s="310">
        <f>SUM(H14:H17)</f>
        <v>692</v>
      </c>
      <c r="I13" s="310">
        <f>SUM(I14:I17)</f>
        <v>938</v>
      </c>
      <c r="K13" s="1626"/>
    </row>
    <row r="14" spans="1:13" ht="13.5" customHeight="1">
      <c r="A14" s="530"/>
      <c r="B14" s="530"/>
      <c r="C14" s="531"/>
      <c r="D14" s="1784" t="s">
        <v>1685</v>
      </c>
      <c r="E14" s="86">
        <v>344</v>
      </c>
      <c r="F14" s="86">
        <v>578</v>
      </c>
      <c r="G14" s="86">
        <v>582</v>
      </c>
      <c r="H14" s="86">
        <v>688</v>
      </c>
      <c r="I14" s="86">
        <v>929</v>
      </c>
      <c r="J14" s="1621"/>
      <c r="K14" s="1626"/>
    </row>
    <row r="15" spans="1:13" ht="13.5" customHeight="1">
      <c r="A15" s="530"/>
      <c r="B15" s="530"/>
      <c r="C15" s="531"/>
      <c r="D15" s="440" t="s">
        <v>1454</v>
      </c>
      <c r="E15" s="812" t="s">
        <v>1384</v>
      </c>
      <c r="F15" s="86" t="s">
        <v>1384</v>
      </c>
      <c r="G15" s="86" t="s">
        <v>1384</v>
      </c>
      <c r="H15" s="86">
        <v>4</v>
      </c>
      <c r="I15" s="86">
        <v>9</v>
      </c>
      <c r="K15" s="1626"/>
    </row>
    <row r="16" spans="1:13" ht="13.5" customHeight="1">
      <c r="A16" s="530"/>
      <c r="B16" s="530"/>
      <c r="C16" s="531"/>
      <c r="D16" s="440" t="s">
        <v>1319</v>
      </c>
      <c r="E16" s="112" t="s">
        <v>1384</v>
      </c>
      <c r="F16" s="124" t="s">
        <v>1384</v>
      </c>
      <c r="G16" s="124" t="s">
        <v>1384</v>
      </c>
      <c r="H16" s="124" t="s">
        <v>1384</v>
      </c>
      <c r="I16" s="124" t="s">
        <v>1384</v>
      </c>
      <c r="K16" s="1626"/>
    </row>
    <row r="17" spans="1:11" ht="13.5" customHeight="1">
      <c r="A17" s="530"/>
      <c r="B17" s="530"/>
      <c r="C17" s="531"/>
      <c r="D17" s="440" t="s">
        <v>1037</v>
      </c>
      <c r="E17" s="112" t="s">
        <v>1384</v>
      </c>
      <c r="F17" s="124" t="s">
        <v>1384</v>
      </c>
      <c r="G17" s="124" t="s">
        <v>1384</v>
      </c>
      <c r="H17" s="124" t="s">
        <v>1384</v>
      </c>
      <c r="I17" s="124" t="s">
        <v>1384</v>
      </c>
      <c r="K17" s="1626"/>
    </row>
    <row r="18" spans="1:11" ht="25.5" customHeight="1">
      <c r="A18" s="530"/>
      <c r="B18" s="865" t="s">
        <v>1312</v>
      </c>
      <c r="C18" s="2041" t="s">
        <v>1191</v>
      </c>
      <c r="D18" s="2042"/>
      <c r="E18" s="310">
        <f>SUM(E19:E22)</f>
        <v>4062</v>
      </c>
      <c r="F18" s="310">
        <f>SUM(F19:F22)</f>
        <v>4451</v>
      </c>
      <c r="G18" s="310">
        <f>SUM(G19:G22)</f>
        <v>4458</v>
      </c>
      <c r="H18" s="310">
        <f>SUM(H19:H22)</f>
        <v>4027</v>
      </c>
      <c r="I18" s="310">
        <f>SUM(I19:I22)</f>
        <v>3837</v>
      </c>
      <c r="K18" s="1626"/>
    </row>
    <row r="19" spans="1:11" ht="13.5" customHeight="1">
      <c r="A19" s="530"/>
      <c r="B19" s="530"/>
      <c r="C19" s="531"/>
      <c r="D19" s="440" t="s">
        <v>158</v>
      </c>
      <c r="E19" s="86">
        <v>3918</v>
      </c>
      <c r="F19" s="86">
        <v>4283</v>
      </c>
      <c r="G19" s="86">
        <v>4283</v>
      </c>
      <c r="H19" s="86">
        <v>3847</v>
      </c>
      <c r="I19" s="86">
        <v>3672</v>
      </c>
      <c r="K19" s="1626"/>
    </row>
    <row r="20" spans="1:11" ht="13.5" customHeight="1">
      <c r="A20" s="530"/>
      <c r="B20" s="530"/>
      <c r="C20" s="531"/>
      <c r="D20" s="440" t="s">
        <v>1455</v>
      </c>
      <c r="E20" s="86">
        <v>74</v>
      </c>
      <c r="F20" s="86">
        <v>98</v>
      </c>
      <c r="G20" s="86">
        <v>98</v>
      </c>
      <c r="H20" s="86">
        <v>97</v>
      </c>
      <c r="I20" s="86">
        <v>96</v>
      </c>
      <c r="K20" s="1626"/>
    </row>
    <row r="21" spans="1:11" ht="13.5" customHeight="1">
      <c r="A21" s="530"/>
      <c r="B21" s="530"/>
      <c r="C21" s="531"/>
      <c r="D21" s="440" t="s">
        <v>1319</v>
      </c>
      <c r="E21" s="86">
        <v>70</v>
      </c>
      <c r="F21" s="86">
        <v>70</v>
      </c>
      <c r="G21" s="86">
        <v>77</v>
      </c>
      <c r="H21" s="86">
        <v>83</v>
      </c>
      <c r="I21" s="86">
        <v>69</v>
      </c>
      <c r="K21" s="1626"/>
    </row>
    <row r="22" spans="1:11" ht="13.5" customHeight="1">
      <c r="A22" s="530"/>
      <c r="B22" s="530"/>
      <c r="C22" s="531"/>
      <c r="D22" s="440" t="s">
        <v>1037</v>
      </c>
      <c r="E22" s="812" t="s">
        <v>1384</v>
      </c>
      <c r="F22" s="86" t="s">
        <v>1384</v>
      </c>
      <c r="G22" s="86" t="s">
        <v>1384</v>
      </c>
      <c r="H22" s="86" t="s">
        <v>1384</v>
      </c>
      <c r="I22" s="86" t="s">
        <v>1384</v>
      </c>
      <c r="K22" s="1626"/>
    </row>
    <row r="23" spans="1:11" ht="25.5" customHeight="1">
      <c r="A23" s="530"/>
      <c r="B23" s="865" t="s">
        <v>1314</v>
      </c>
      <c r="C23" s="2103" t="s">
        <v>1192</v>
      </c>
      <c r="D23" s="2104"/>
      <c r="E23" s="310">
        <f>SUM(E24:E28)</f>
        <v>4824</v>
      </c>
      <c r="F23" s="310">
        <f>SUM(F24:F28)</f>
        <v>6929</v>
      </c>
      <c r="G23" s="310">
        <f>SUM(G24:G28)</f>
        <v>6935</v>
      </c>
      <c r="H23" s="310">
        <f>SUM(H24:H28)</f>
        <v>7534</v>
      </c>
      <c r="I23" s="310">
        <f>SUM(I24:I28)</f>
        <v>7803</v>
      </c>
      <c r="K23" s="1626"/>
    </row>
    <row r="24" spans="1:11" ht="13.5" customHeight="1">
      <c r="A24" s="530"/>
      <c r="B24" s="530"/>
      <c r="C24" s="531"/>
      <c r="D24" s="440" t="s">
        <v>1508</v>
      </c>
      <c r="E24" s="86">
        <v>4767</v>
      </c>
      <c r="F24" s="86">
        <v>6847</v>
      </c>
      <c r="G24" s="86">
        <v>6847</v>
      </c>
      <c r="H24" s="86">
        <v>7441</v>
      </c>
      <c r="I24" s="86">
        <v>7716</v>
      </c>
      <c r="K24" s="1626"/>
    </row>
    <row r="25" spans="1:11" ht="13.5" customHeight="1">
      <c r="A25" s="530"/>
      <c r="B25" s="530"/>
      <c r="C25" s="531"/>
      <c r="D25" s="440" t="s">
        <v>1507</v>
      </c>
      <c r="E25" s="86">
        <v>4</v>
      </c>
      <c r="F25" s="86">
        <v>1</v>
      </c>
      <c r="G25" s="86">
        <v>3</v>
      </c>
      <c r="H25" s="86">
        <v>3</v>
      </c>
      <c r="I25" s="86">
        <v>3</v>
      </c>
      <c r="K25" s="1626"/>
    </row>
    <row r="26" spans="1:11" ht="13.5" customHeight="1">
      <c r="A26" s="530"/>
      <c r="B26" s="530"/>
      <c r="C26" s="531"/>
      <c r="D26" s="440" t="s">
        <v>1319</v>
      </c>
      <c r="E26" s="86">
        <v>44</v>
      </c>
      <c r="F26" s="86">
        <v>47</v>
      </c>
      <c r="G26" s="86">
        <v>51</v>
      </c>
      <c r="H26" s="86">
        <v>55</v>
      </c>
      <c r="I26" s="86">
        <v>49</v>
      </c>
      <c r="K26" s="1626"/>
    </row>
    <row r="27" spans="1:11" ht="13.5" customHeight="1">
      <c r="A27" s="530"/>
      <c r="B27" s="530"/>
      <c r="C27" s="531"/>
      <c r="D27" s="440" t="s">
        <v>1037</v>
      </c>
      <c r="E27" s="812" t="s">
        <v>1384</v>
      </c>
      <c r="F27" s="86" t="s">
        <v>1384</v>
      </c>
      <c r="G27" s="86" t="s">
        <v>1384</v>
      </c>
      <c r="H27" s="86" t="s">
        <v>1384</v>
      </c>
      <c r="I27" s="86" t="s">
        <v>1384</v>
      </c>
      <c r="K27" s="1626"/>
    </row>
    <row r="28" spans="1:11" ht="13.5" customHeight="1">
      <c r="A28" s="530"/>
      <c r="B28" s="530"/>
      <c r="C28" s="531"/>
      <c r="D28" s="440" t="s">
        <v>1456</v>
      </c>
      <c r="E28" s="86">
        <v>9</v>
      </c>
      <c r="F28" s="86">
        <v>34</v>
      </c>
      <c r="G28" s="86">
        <v>34</v>
      </c>
      <c r="H28" s="86">
        <v>35</v>
      </c>
      <c r="I28" s="86">
        <v>35</v>
      </c>
      <c r="K28" s="1626"/>
    </row>
    <row r="29" spans="1:11" ht="13.5" customHeight="1">
      <c r="A29" s="753" t="s">
        <v>1490</v>
      </c>
      <c r="B29" s="866" t="s">
        <v>833</v>
      </c>
      <c r="C29" s="532"/>
      <c r="D29" s="533"/>
      <c r="E29" s="307">
        <v>343</v>
      </c>
      <c r="F29" s="307">
        <v>393</v>
      </c>
      <c r="G29" s="307">
        <v>394</v>
      </c>
      <c r="H29" s="307">
        <v>390</v>
      </c>
      <c r="I29" s="307">
        <v>351</v>
      </c>
      <c r="K29" s="1626"/>
    </row>
    <row r="30" spans="1:11" ht="25.5" customHeight="1">
      <c r="A30" s="747" t="s">
        <v>1491</v>
      </c>
      <c r="B30" s="2083" t="s">
        <v>1036</v>
      </c>
      <c r="C30" s="2084"/>
      <c r="D30" s="2085"/>
      <c r="E30" s="815" t="s">
        <v>1384</v>
      </c>
      <c r="F30" s="389" t="s">
        <v>1384</v>
      </c>
      <c r="G30" s="389" t="s">
        <v>1384</v>
      </c>
      <c r="H30" s="389" t="s">
        <v>1384</v>
      </c>
      <c r="I30" s="389" t="s">
        <v>1384</v>
      </c>
      <c r="K30" s="1626"/>
    </row>
    <row r="31" spans="1:11" ht="13.5" customHeight="1">
      <c r="A31" s="754" t="s">
        <v>1492</v>
      </c>
      <c r="B31" s="2036" t="s">
        <v>159</v>
      </c>
      <c r="C31" s="2037"/>
      <c r="D31" s="2038"/>
      <c r="E31" s="309">
        <v>177</v>
      </c>
      <c r="F31" s="309">
        <v>187</v>
      </c>
      <c r="G31" s="309">
        <v>174</v>
      </c>
      <c r="H31" s="309">
        <v>121</v>
      </c>
      <c r="I31" s="309">
        <v>165</v>
      </c>
      <c r="K31" s="1626"/>
    </row>
    <row r="32" spans="1:11" ht="12" customHeight="1">
      <c r="A32" s="71" t="s">
        <v>1687</v>
      </c>
      <c r="C32" s="62"/>
      <c r="D32" s="62"/>
      <c r="F32" s="1059" t="s">
        <v>1525</v>
      </c>
      <c r="G32" s="1060" t="s">
        <v>1059</v>
      </c>
      <c r="H32" s="320"/>
      <c r="I32" s="320"/>
    </row>
    <row r="33" spans="1:9" ht="12" customHeight="1">
      <c r="C33" s="62"/>
      <c r="D33" s="62"/>
      <c r="F33" s="1060"/>
      <c r="G33" s="1060" t="s">
        <v>1060</v>
      </c>
      <c r="H33" s="320"/>
      <c r="I33" s="320"/>
    </row>
    <row r="34" spans="1:9" ht="12" customHeight="1">
      <c r="C34" s="62"/>
      <c r="D34" s="323"/>
      <c r="F34" s="1060"/>
      <c r="G34" s="1061" t="s">
        <v>1057</v>
      </c>
      <c r="H34" s="339"/>
      <c r="I34" s="339"/>
    </row>
    <row r="35" spans="1:9" ht="12" customHeight="1">
      <c r="C35" s="62"/>
      <c r="D35" s="62"/>
      <c r="F35" s="1060"/>
      <c r="G35" s="1061" t="s">
        <v>1061</v>
      </c>
      <c r="H35" s="339"/>
      <c r="I35" s="339"/>
    </row>
    <row r="36" spans="1:9" ht="12" customHeight="1">
      <c r="C36" s="62"/>
      <c r="D36" s="62"/>
      <c r="F36" s="1060"/>
      <c r="G36" s="1060" t="s">
        <v>1342</v>
      </c>
      <c r="H36" s="320"/>
      <c r="I36" s="320"/>
    </row>
    <row r="37" spans="1:9" ht="12" customHeight="1">
      <c r="C37" s="62"/>
      <c r="D37" s="62"/>
      <c r="F37" s="1060"/>
      <c r="G37" s="1060" t="s">
        <v>452</v>
      </c>
      <c r="H37" s="320"/>
      <c r="I37" s="320"/>
    </row>
    <row r="38" spans="1:9" ht="12" customHeight="1">
      <c r="C38" s="62"/>
      <c r="D38" s="62"/>
      <c r="F38" s="1060"/>
      <c r="G38" s="1060" t="s">
        <v>1228</v>
      </c>
      <c r="H38" s="320"/>
      <c r="I38" s="320"/>
    </row>
    <row r="39" spans="1:9">
      <c r="C39" s="62"/>
      <c r="D39" s="62"/>
      <c r="E39" s="62"/>
      <c r="F39" s="62"/>
      <c r="G39" s="62"/>
      <c r="H39" s="62"/>
      <c r="I39" s="62"/>
    </row>
    <row r="40" spans="1:9">
      <c r="A40" s="1"/>
      <c r="B40" s="1"/>
      <c r="C40" s="1"/>
      <c r="D40" s="1"/>
      <c r="E40" s="1"/>
      <c r="F40" s="1"/>
      <c r="G40" s="1"/>
      <c r="H40" s="1"/>
      <c r="I40" s="1"/>
    </row>
    <row r="41" spans="1:9">
      <c r="C41" s="62"/>
      <c r="D41" s="62"/>
      <c r="E41" s="62"/>
      <c r="F41" s="62"/>
      <c r="G41" s="62"/>
      <c r="H41" s="62"/>
      <c r="I41" s="62"/>
    </row>
    <row r="42" spans="1:9">
      <c r="C42" s="62"/>
      <c r="D42" s="62"/>
      <c r="E42" s="62"/>
      <c r="F42" s="62"/>
      <c r="G42" s="62"/>
      <c r="H42" s="62"/>
      <c r="I42" s="62"/>
    </row>
  </sheetData>
  <mergeCells count="12">
    <mergeCell ref="B31:D31"/>
    <mergeCell ref="B30:D30"/>
    <mergeCell ref="C8:D8"/>
    <mergeCell ref="C13:D13"/>
    <mergeCell ref="C18:D18"/>
    <mergeCell ref="C23:D23"/>
    <mergeCell ref="A1:I1"/>
    <mergeCell ref="B7:D7"/>
    <mergeCell ref="A6:D6"/>
    <mergeCell ref="A2:I2"/>
    <mergeCell ref="A4:D5"/>
    <mergeCell ref="E4:I4"/>
  </mergeCells>
  <phoneticPr fontId="0" type="noConversion"/>
  <printOptions horizontalCentered="1"/>
  <pageMargins left="0.38" right="0.1" top="0.63" bottom="0.1" header="0.62" footer="0.1"/>
  <pageSetup paperSize="9" scale="95" orientation="landscape" blackAndWhite="1" r:id="rId1"/>
  <headerFooter alignWithMargins="0"/>
</worksheet>
</file>

<file path=xl/worksheets/sheet35.xml><?xml version="1.0" encoding="utf-8"?>
<worksheet xmlns="http://schemas.openxmlformats.org/spreadsheetml/2006/main" xmlns:r="http://schemas.openxmlformats.org/officeDocument/2006/relationships">
  <sheetPr codeName="Sheet33"/>
  <dimension ref="B1:L46"/>
  <sheetViews>
    <sheetView topLeftCell="B22" workbookViewId="0">
      <selection activeCell="L42" sqref="L42"/>
    </sheetView>
  </sheetViews>
  <sheetFormatPr defaultRowHeight="12.75"/>
  <cols>
    <col min="1" max="1" width="8.140625" customWidth="1"/>
    <col min="2" max="2" width="2" customWidth="1"/>
    <col min="3" max="3" width="2.85546875" customWidth="1"/>
    <col min="4" max="4" width="1.140625" customWidth="1"/>
    <col min="5" max="5" width="55.28515625" customWidth="1"/>
    <col min="6" max="10" width="14.28515625" customWidth="1"/>
  </cols>
  <sheetData>
    <row r="1" spans="2:12" ht="12.75" customHeight="1">
      <c r="B1" s="1893" t="s">
        <v>769</v>
      </c>
      <c r="C1" s="1893"/>
      <c r="D1" s="1893"/>
      <c r="E1" s="1893"/>
      <c r="F1" s="1893"/>
      <c r="G1" s="1893"/>
      <c r="H1" s="1893"/>
      <c r="I1" s="1893"/>
      <c r="J1" s="1893"/>
    </row>
    <row r="2" spans="2:12" ht="33" customHeight="1">
      <c r="B2" s="1857" t="str">
        <f>CONCATENATE(" Teachers in different type of Professional &amp; Technical Educational Institutions 
in the district of ",District!A1)</f>
        <v xml:space="preserve"> Teachers in different type of Professional &amp; Technical Educational Institutions 
in the district of Purba Medinipur</v>
      </c>
      <c r="C2" s="1857"/>
      <c r="D2" s="1857"/>
      <c r="E2" s="1857"/>
      <c r="F2" s="1857"/>
      <c r="G2" s="1857"/>
      <c r="H2" s="1857"/>
      <c r="I2" s="1857"/>
      <c r="J2" s="1857"/>
    </row>
    <row r="3" spans="2:12" ht="12" customHeight="1">
      <c r="B3" s="7"/>
      <c r="C3" s="7"/>
      <c r="D3" s="7"/>
      <c r="E3" s="7"/>
      <c r="F3" s="7"/>
      <c r="G3" s="7"/>
      <c r="H3" s="7"/>
      <c r="I3" s="7"/>
      <c r="J3" s="204" t="s">
        <v>1001</v>
      </c>
    </row>
    <row r="4" spans="2:12" ht="14.25" customHeight="1">
      <c r="B4" s="1866" t="s">
        <v>436</v>
      </c>
      <c r="C4" s="2046"/>
      <c r="D4" s="2046"/>
      <c r="E4" s="1906"/>
      <c r="F4" s="2048" t="s">
        <v>899</v>
      </c>
      <c r="G4" s="2049"/>
      <c r="H4" s="2049"/>
      <c r="I4" s="2049"/>
      <c r="J4" s="2050"/>
    </row>
    <row r="5" spans="2:12" ht="14.25" customHeight="1">
      <c r="B5" s="1860"/>
      <c r="C5" s="2047"/>
      <c r="D5" s="2047"/>
      <c r="E5" s="1907"/>
      <c r="F5" s="234" t="s">
        <v>1356</v>
      </c>
      <c r="G5" s="456" t="s">
        <v>306</v>
      </c>
      <c r="H5" s="1590" t="s">
        <v>1357</v>
      </c>
      <c r="I5" s="1590" t="s">
        <v>628</v>
      </c>
      <c r="J5" s="1590" t="s">
        <v>1639</v>
      </c>
    </row>
    <row r="6" spans="2:12" ht="14.25" customHeight="1">
      <c r="B6" s="2090" t="s">
        <v>955</v>
      </c>
      <c r="C6" s="2091"/>
      <c r="D6" s="2091"/>
      <c r="E6" s="2092"/>
      <c r="F6" s="176" t="s">
        <v>956</v>
      </c>
      <c r="G6" s="172" t="s">
        <v>957</v>
      </c>
      <c r="H6" s="176" t="s">
        <v>958</v>
      </c>
      <c r="I6" s="172" t="s">
        <v>959</v>
      </c>
      <c r="J6" s="172" t="s">
        <v>961</v>
      </c>
    </row>
    <row r="7" spans="2:12" ht="13.5" customHeight="1">
      <c r="B7" s="745" t="s">
        <v>1489</v>
      </c>
      <c r="C7" s="2033" t="s">
        <v>394</v>
      </c>
      <c r="D7" s="2034"/>
      <c r="E7" s="2035"/>
      <c r="F7" s="253">
        <f>SUM(F8,F13,F16)</f>
        <v>140</v>
      </c>
      <c r="G7" s="253">
        <f>SUM(G8,G13,G16)</f>
        <v>166</v>
      </c>
      <c r="H7" s="253">
        <f>SUM(H8,H13,H16)</f>
        <v>189</v>
      </c>
      <c r="I7" s="253">
        <f>SUM(I8,I13,I16)</f>
        <v>190</v>
      </c>
      <c r="J7" s="253">
        <f>SUM(J8,J13,J16)</f>
        <v>184</v>
      </c>
      <c r="L7" s="1626"/>
    </row>
    <row r="8" spans="2:12" ht="13.5" customHeight="1">
      <c r="B8" s="34"/>
      <c r="C8" s="867" t="s">
        <v>1313</v>
      </c>
      <c r="D8" s="1272" t="s">
        <v>1348</v>
      </c>
      <c r="E8" s="1271"/>
      <c r="F8" s="310">
        <f>SUM(F9:F12)</f>
        <v>44</v>
      </c>
      <c r="G8" s="310">
        <f>SUM(G9:G12)</f>
        <v>51</v>
      </c>
      <c r="H8" s="310">
        <f>SUM(H9:H12)</f>
        <v>58</v>
      </c>
      <c r="I8" s="310">
        <f>SUM(I9:I12)</f>
        <v>42</v>
      </c>
      <c r="J8" s="310">
        <f>SUM(J9:J12)</f>
        <v>34</v>
      </c>
      <c r="L8" s="1626"/>
    </row>
    <row r="9" spans="2:12" ht="13.5" customHeight="1">
      <c r="B9" s="34"/>
      <c r="C9" s="530"/>
      <c r="D9" s="531"/>
      <c r="E9" s="440" t="s">
        <v>1349</v>
      </c>
      <c r="F9" s="813" t="s">
        <v>1384</v>
      </c>
      <c r="G9" s="1593" t="s">
        <v>1384</v>
      </c>
      <c r="H9" s="1610" t="s">
        <v>1384</v>
      </c>
      <c r="I9" s="1593" t="s">
        <v>1384</v>
      </c>
      <c r="J9" s="102" t="s">
        <v>1384</v>
      </c>
      <c r="L9" s="1626"/>
    </row>
    <row r="10" spans="2:12" ht="13.5" customHeight="1">
      <c r="B10" s="34"/>
      <c r="C10" s="530"/>
      <c r="D10" s="531"/>
      <c r="E10" s="440" t="s">
        <v>289</v>
      </c>
      <c r="F10" s="813" t="s">
        <v>1384</v>
      </c>
      <c r="G10" s="1593" t="s">
        <v>1384</v>
      </c>
      <c r="H10" s="1610" t="s">
        <v>1384</v>
      </c>
      <c r="I10" s="1593" t="s">
        <v>1384</v>
      </c>
      <c r="J10" s="102" t="s">
        <v>1384</v>
      </c>
      <c r="L10" s="1626"/>
    </row>
    <row r="11" spans="2:12" ht="13.5" customHeight="1">
      <c r="B11" s="34"/>
      <c r="C11" s="530"/>
      <c r="D11" s="531"/>
      <c r="E11" s="440" t="s">
        <v>1350</v>
      </c>
      <c r="F11" s="1610">
        <v>13</v>
      </c>
      <c r="G11" s="1593">
        <v>20</v>
      </c>
      <c r="H11" s="1610">
        <v>19</v>
      </c>
      <c r="I11" s="1593">
        <v>22</v>
      </c>
      <c r="J11" s="102">
        <v>34</v>
      </c>
      <c r="L11" s="1626"/>
    </row>
    <row r="12" spans="2:12" ht="13.5" customHeight="1">
      <c r="B12" s="34"/>
      <c r="C12" s="530"/>
      <c r="D12" s="531"/>
      <c r="E12" s="440" t="s">
        <v>841</v>
      </c>
      <c r="F12" s="855">
        <v>31</v>
      </c>
      <c r="G12" s="445">
        <v>31</v>
      </c>
      <c r="H12" s="445">
        <v>39</v>
      </c>
      <c r="I12" s="445">
        <v>20</v>
      </c>
      <c r="J12" s="445" t="s">
        <v>1384</v>
      </c>
      <c r="L12" s="1626"/>
    </row>
    <row r="13" spans="2:12" ht="13.5" customHeight="1">
      <c r="B13" s="34"/>
      <c r="C13" s="867" t="s">
        <v>1311</v>
      </c>
      <c r="D13" s="1272" t="s">
        <v>1351</v>
      </c>
      <c r="E13" s="1271"/>
      <c r="F13" s="307">
        <f>IF(SUM(F14:F15)=0,"-",SUM(F14:F15))</f>
        <v>67</v>
      </c>
      <c r="G13" s="389">
        <f>IF(SUM(G14:G15)=0,"-",SUM(G14:G15))</f>
        <v>87</v>
      </c>
      <c r="H13" s="307">
        <f>IF(SUM(H14:H15)=0,"-",SUM(H14:H15))</f>
        <v>103</v>
      </c>
      <c r="I13" s="389">
        <f>IF(SUM(I14:I15)=0,"-",SUM(I14:I15))</f>
        <v>121</v>
      </c>
      <c r="J13" s="389">
        <f>IF(SUM(J14:J15)=0,"-",SUM(J14:J15))</f>
        <v>124</v>
      </c>
      <c r="L13" s="1626"/>
    </row>
    <row r="14" spans="2:12" ht="13.5" customHeight="1">
      <c r="B14" s="34"/>
      <c r="C14" s="530"/>
      <c r="D14" s="531"/>
      <c r="E14" s="534" t="s">
        <v>1353</v>
      </c>
      <c r="F14" s="813">
        <v>67</v>
      </c>
      <c r="G14" s="813">
        <v>87</v>
      </c>
      <c r="H14" s="813">
        <v>103</v>
      </c>
      <c r="I14" s="813">
        <v>121</v>
      </c>
      <c r="J14" s="813">
        <v>124</v>
      </c>
      <c r="L14" s="1626"/>
    </row>
    <row r="15" spans="2:12" ht="13.5" customHeight="1">
      <c r="B15" s="34"/>
      <c r="C15" s="530"/>
      <c r="D15" s="531"/>
      <c r="E15" s="440" t="s">
        <v>1620</v>
      </c>
      <c r="F15" s="112" t="s">
        <v>1384</v>
      </c>
      <c r="G15" s="112" t="s">
        <v>1384</v>
      </c>
      <c r="H15" s="112" t="s">
        <v>1384</v>
      </c>
      <c r="I15" s="124" t="s">
        <v>1384</v>
      </c>
      <c r="J15" s="124" t="s">
        <v>1384</v>
      </c>
      <c r="L15" s="1626"/>
    </row>
    <row r="16" spans="2:12" ht="27.75" customHeight="1">
      <c r="B16" s="34"/>
      <c r="C16" s="868" t="s">
        <v>1312</v>
      </c>
      <c r="D16" s="2103" t="s">
        <v>1188</v>
      </c>
      <c r="E16" s="2104"/>
      <c r="F16" s="311">
        <v>29</v>
      </c>
      <c r="G16" s="311">
        <v>28</v>
      </c>
      <c r="H16" s="311">
        <v>28</v>
      </c>
      <c r="I16" s="311">
        <v>27</v>
      </c>
      <c r="J16" s="311">
        <v>26</v>
      </c>
      <c r="L16" s="1626"/>
    </row>
    <row r="17" spans="2:12" ht="13.5" customHeight="1">
      <c r="B17" s="746" t="s">
        <v>1490</v>
      </c>
      <c r="C17" s="2105" t="s">
        <v>395</v>
      </c>
      <c r="D17" s="2106"/>
      <c r="E17" s="2107"/>
      <c r="F17" s="253">
        <f>SUM(F18,F25,F28)</f>
        <v>510</v>
      </c>
      <c r="G17" s="253">
        <f>SUM(G18,G25,G28)</f>
        <v>507</v>
      </c>
      <c r="H17" s="253">
        <f>SUM(H18,H25,H28)</f>
        <v>484</v>
      </c>
      <c r="I17" s="253">
        <f>SUM(I18,I25,I28)</f>
        <v>522</v>
      </c>
      <c r="J17" s="253">
        <f>SUM(J18,J25,J28)</f>
        <v>524</v>
      </c>
      <c r="L17" s="1626"/>
    </row>
    <row r="18" spans="2:12" ht="13.5" customHeight="1">
      <c r="B18" s="34"/>
      <c r="C18" s="867" t="s">
        <v>1313</v>
      </c>
      <c r="D18" s="1272" t="s">
        <v>1355</v>
      </c>
      <c r="E18" s="1271"/>
      <c r="F18" s="310">
        <f>SUM(F19:F24)</f>
        <v>415</v>
      </c>
      <c r="G18" s="310">
        <f>SUM(G19:G24)</f>
        <v>413</v>
      </c>
      <c r="H18" s="310">
        <f>SUM(H19:H24)</f>
        <v>408</v>
      </c>
      <c r="I18" s="310">
        <f>SUM(I19:I24)</f>
        <v>403</v>
      </c>
      <c r="J18" s="310">
        <f>SUM(J19:J24)</f>
        <v>407</v>
      </c>
      <c r="L18" s="1626"/>
    </row>
    <row r="19" spans="2:12" ht="13.5" customHeight="1">
      <c r="B19" s="34"/>
      <c r="C19" s="530"/>
      <c r="D19" s="531"/>
      <c r="E19" s="534" t="s">
        <v>706</v>
      </c>
      <c r="F19" s="112" t="s">
        <v>1384</v>
      </c>
      <c r="G19" s="124" t="s">
        <v>1384</v>
      </c>
      <c r="H19" s="124" t="s">
        <v>1384</v>
      </c>
      <c r="I19" s="124" t="s">
        <v>1384</v>
      </c>
      <c r="J19" s="124" t="s">
        <v>1384</v>
      </c>
      <c r="L19" s="1626"/>
    </row>
    <row r="20" spans="2:12" ht="13.5" customHeight="1">
      <c r="B20" s="34"/>
      <c r="C20" s="530"/>
      <c r="D20" s="531"/>
      <c r="E20" s="440" t="s">
        <v>602</v>
      </c>
      <c r="F20" s="1610">
        <v>288</v>
      </c>
      <c r="G20" s="1610">
        <v>283</v>
      </c>
      <c r="H20" s="1610">
        <v>282</v>
      </c>
      <c r="I20" s="1610">
        <v>264</v>
      </c>
      <c r="J20" s="110">
        <v>296</v>
      </c>
      <c r="K20" s="7"/>
      <c r="L20" s="1626"/>
    </row>
    <row r="21" spans="2:12" ht="13.5" customHeight="1">
      <c r="B21" s="34"/>
      <c r="C21" s="530"/>
      <c r="D21" s="531"/>
      <c r="E21" s="440" t="s">
        <v>603</v>
      </c>
      <c r="F21" s="1610">
        <v>9</v>
      </c>
      <c r="G21" s="1610">
        <v>9</v>
      </c>
      <c r="H21" s="1610">
        <v>9</v>
      </c>
      <c r="I21" s="1610">
        <v>9</v>
      </c>
      <c r="J21" s="110">
        <v>10</v>
      </c>
      <c r="K21" s="7"/>
      <c r="L21" s="1626"/>
    </row>
    <row r="22" spans="2:12" ht="13.5" customHeight="1">
      <c r="B22" s="34"/>
      <c r="C22" s="530"/>
      <c r="D22" s="531"/>
      <c r="E22" s="440" t="s">
        <v>604</v>
      </c>
      <c r="F22" s="1610">
        <v>85</v>
      </c>
      <c r="G22" s="1610">
        <v>86</v>
      </c>
      <c r="H22" s="1610">
        <v>57</v>
      </c>
      <c r="I22" s="1610">
        <v>56</v>
      </c>
      <c r="J22" s="110">
        <v>67</v>
      </c>
      <c r="L22" s="1626"/>
    </row>
    <row r="23" spans="2:12" ht="13.5" customHeight="1">
      <c r="B23" s="34"/>
      <c r="C23" s="530"/>
      <c r="D23" s="531"/>
      <c r="E23" s="440" t="s">
        <v>1358</v>
      </c>
      <c r="F23" s="813" t="s">
        <v>1384</v>
      </c>
      <c r="G23" s="1610" t="s">
        <v>1384</v>
      </c>
      <c r="H23" s="1610" t="s">
        <v>1384</v>
      </c>
      <c r="I23" s="1610" t="s">
        <v>1384</v>
      </c>
      <c r="J23" s="110" t="s">
        <v>1384</v>
      </c>
      <c r="L23" s="1626"/>
    </row>
    <row r="24" spans="2:12" ht="25.5" customHeight="1">
      <c r="B24" s="34"/>
      <c r="C24" s="530"/>
      <c r="D24" s="531"/>
      <c r="E24" s="534" t="s">
        <v>847</v>
      </c>
      <c r="F24" s="1610">
        <v>33</v>
      </c>
      <c r="G24" s="1610">
        <v>35</v>
      </c>
      <c r="H24" s="1610">
        <v>60</v>
      </c>
      <c r="I24" s="1610">
        <v>74</v>
      </c>
      <c r="J24" s="110">
        <v>34</v>
      </c>
      <c r="L24" s="1626"/>
    </row>
    <row r="25" spans="2:12" ht="13.5" customHeight="1">
      <c r="B25" s="34"/>
      <c r="C25" s="867" t="s">
        <v>1311</v>
      </c>
      <c r="D25" s="1272" t="s">
        <v>1359</v>
      </c>
      <c r="E25" s="1271"/>
      <c r="F25" s="310">
        <f>SUM(F26:F27)</f>
        <v>85</v>
      </c>
      <c r="G25" s="310">
        <f>SUM(G26:G27)</f>
        <v>84</v>
      </c>
      <c r="H25" s="310">
        <f>SUM(H26:H27)</f>
        <v>59</v>
      </c>
      <c r="I25" s="310">
        <f>SUM(I26:I27)</f>
        <v>104</v>
      </c>
      <c r="J25" s="310">
        <f>SUM(J26:J27)</f>
        <v>103</v>
      </c>
      <c r="L25" s="1626"/>
    </row>
    <row r="26" spans="2:12" ht="13.5" customHeight="1">
      <c r="B26" s="34"/>
      <c r="C26" s="530"/>
      <c r="D26" s="531"/>
      <c r="E26" s="440" t="s">
        <v>605</v>
      </c>
      <c r="F26" s="1610">
        <v>85</v>
      </c>
      <c r="G26" s="1610">
        <v>84</v>
      </c>
      <c r="H26" s="1610">
        <v>59</v>
      </c>
      <c r="I26" s="1610">
        <v>104</v>
      </c>
      <c r="J26" s="110">
        <v>103</v>
      </c>
      <c r="L26" s="1626"/>
    </row>
    <row r="27" spans="2:12" ht="13.5" customHeight="1">
      <c r="B27" s="34"/>
      <c r="C27" s="530"/>
      <c r="D27" s="531"/>
      <c r="E27" s="440" t="s">
        <v>1360</v>
      </c>
      <c r="F27" s="813" t="s">
        <v>1384</v>
      </c>
      <c r="G27" s="1610" t="s">
        <v>1384</v>
      </c>
      <c r="H27" s="1610" t="s">
        <v>1384</v>
      </c>
      <c r="I27" s="1610" t="s">
        <v>1384</v>
      </c>
      <c r="J27" s="110" t="s">
        <v>1384</v>
      </c>
      <c r="L27" s="1626"/>
    </row>
    <row r="28" spans="2:12" ht="13.5" customHeight="1">
      <c r="B28" s="34"/>
      <c r="C28" s="867" t="s">
        <v>1312</v>
      </c>
      <c r="D28" s="1272" t="s">
        <v>1628</v>
      </c>
      <c r="E28" s="1271"/>
      <c r="F28" s="310">
        <f>IF(SUM(F29:F33)=0,"-",SUM(F29:F33))</f>
        <v>10</v>
      </c>
      <c r="G28" s="310">
        <f>IF(SUM(G29:G33)=0,"-",SUM(G29:G33))</f>
        <v>10</v>
      </c>
      <c r="H28" s="310">
        <f>IF(SUM(H29:H33)=0,"-",SUM(H29:H33))</f>
        <v>17</v>
      </c>
      <c r="I28" s="310">
        <f>IF(SUM(I29:I33)=0,"-",SUM(I29:I33))</f>
        <v>15</v>
      </c>
      <c r="J28" s="310">
        <f>IF(SUM(J29:J33)=0,"-",SUM(J29:J33))</f>
        <v>14</v>
      </c>
      <c r="L28" s="1626"/>
    </row>
    <row r="29" spans="2:12" ht="13.5" customHeight="1">
      <c r="B29" s="34"/>
      <c r="C29" s="530"/>
      <c r="D29" s="531"/>
      <c r="E29" s="440" t="s">
        <v>1361</v>
      </c>
      <c r="F29" s="1610">
        <v>7</v>
      </c>
      <c r="G29" s="1610">
        <v>7</v>
      </c>
      <c r="H29" s="1610">
        <v>15</v>
      </c>
      <c r="I29" s="1610">
        <v>13</v>
      </c>
      <c r="J29" s="110">
        <v>12</v>
      </c>
      <c r="L29" s="1626"/>
    </row>
    <row r="30" spans="2:12" ht="13.5" customHeight="1">
      <c r="B30" s="34"/>
      <c r="C30" s="530"/>
      <c r="D30" s="531"/>
      <c r="E30" s="440" t="s">
        <v>1362</v>
      </c>
      <c r="F30" s="112" t="s">
        <v>1384</v>
      </c>
      <c r="G30" s="124" t="s">
        <v>1384</v>
      </c>
      <c r="H30" s="124" t="s">
        <v>1384</v>
      </c>
      <c r="I30" s="124" t="s">
        <v>1384</v>
      </c>
      <c r="J30" s="124" t="s">
        <v>1384</v>
      </c>
      <c r="L30" s="1626"/>
    </row>
    <row r="31" spans="2:12" ht="13.5" customHeight="1">
      <c r="B31" s="34"/>
      <c r="C31" s="530"/>
      <c r="D31" s="531"/>
      <c r="E31" s="440" t="s">
        <v>1365</v>
      </c>
      <c r="F31" s="112" t="s">
        <v>1384</v>
      </c>
      <c r="G31" s="124" t="s">
        <v>1384</v>
      </c>
      <c r="H31" s="124" t="s">
        <v>1384</v>
      </c>
      <c r="I31" s="124" t="s">
        <v>1384</v>
      </c>
      <c r="J31" s="124" t="s">
        <v>1384</v>
      </c>
      <c r="L31" s="1626"/>
    </row>
    <row r="32" spans="2:12" ht="13.5" customHeight="1">
      <c r="B32" s="34"/>
      <c r="C32" s="530"/>
      <c r="D32" s="531"/>
      <c r="E32" s="440" t="s">
        <v>1363</v>
      </c>
      <c r="F32" s="112" t="s">
        <v>1384</v>
      </c>
      <c r="G32" s="124" t="s">
        <v>1384</v>
      </c>
      <c r="H32" s="124" t="s">
        <v>1384</v>
      </c>
      <c r="I32" s="124" t="s">
        <v>1384</v>
      </c>
      <c r="J32" s="124" t="s">
        <v>1384</v>
      </c>
      <c r="L32" s="1626"/>
    </row>
    <row r="33" spans="2:12" ht="13.5" customHeight="1">
      <c r="B33" s="34"/>
      <c r="C33" s="530"/>
      <c r="D33" s="531"/>
      <c r="E33" s="440" t="s">
        <v>1364</v>
      </c>
      <c r="F33" s="1610">
        <v>3</v>
      </c>
      <c r="G33" s="1610">
        <v>3</v>
      </c>
      <c r="H33" s="1610">
        <v>2</v>
      </c>
      <c r="I33" s="1610">
        <v>2</v>
      </c>
      <c r="J33" s="110">
        <v>2</v>
      </c>
      <c r="L33" s="1626"/>
    </row>
    <row r="34" spans="2:12" ht="13.5" customHeight="1">
      <c r="B34" s="747" t="s">
        <v>1491</v>
      </c>
      <c r="C34" s="2036" t="s">
        <v>396</v>
      </c>
      <c r="D34" s="2037"/>
      <c r="E34" s="2038"/>
      <c r="F34" s="307" t="s">
        <v>1384</v>
      </c>
      <c r="G34" s="307" t="s">
        <v>1384</v>
      </c>
      <c r="H34" s="307" t="s">
        <v>1384</v>
      </c>
      <c r="I34" s="307" t="s">
        <v>1384</v>
      </c>
      <c r="J34" s="307" t="s">
        <v>1384</v>
      </c>
      <c r="L34" s="1626"/>
    </row>
    <row r="35" spans="2:12" ht="13.5" customHeight="1">
      <c r="B35" s="119"/>
      <c r="C35" s="2059" t="s">
        <v>979</v>
      </c>
      <c r="D35" s="2059"/>
      <c r="E35" s="2060"/>
      <c r="F35" s="1595">
        <f>SUM(F7,F17,F34)</f>
        <v>650</v>
      </c>
      <c r="G35" s="1595">
        <f>SUM(G7,G17,G34)</f>
        <v>673</v>
      </c>
      <c r="H35" s="1595">
        <f>SUM(H7,H17,H34)</f>
        <v>673</v>
      </c>
      <c r="I35" s="1595">
        <f>SUM(I7,I17,I34)</f>
        <v>712</v>
      </c>
      <c r="J35" s="139">
        <f>SUM(J7,J17,J34)</f>
        <v>708</v>
      </c>
      <c r="L35" s="1626"/>
    </row>
    <row r="36" spans="2:12">
      <c r="B36" s="419"/>
      <c r="D36" s="62"/>
      <c r="E36" s="62"/>
      <c r="F36" s="324"/>
      <c r="I36" s="561"/>
      <c r="J36" s="1134" t="s">
        <v>521</v>
      </c>
    </row>
    <row r="37" spans="2:12">
      <c r="B37" s="62"/>
      <c r="C37" s="62"/>
      <c r="D37" s="62"/>
      <c r="E37" s="62"/>
      <c r="F37" s="62"/>
      <c r="G37" s="320"/>
      <c r="H37" s="529"/>
      <c r="I37" s="529"/>
      <c r="J37" s="529"/>
    </row>
    <row r="38" spans="2:12">
      <c r="B38" s="62"/>
      <c r="C38" s="62"/>
      <c r="D38" s="62"/>
      <c r="E38" s="62"/>
      <c r="F38" s="62"/>
      <c r="G38" s="320"/>
      <c r="H38" s="529"/>
      <c r="I38" s="529"/>
      <c r="J38" s="529"/>
    </row>
    <row r="39" spans="2:12">
      <c r="B39" s="62"/>
      <c r="C39" s="62"/>
      <c r="D39" s="62"/>
      <c r="E39" s="62"/>
      <c r="F39" s="62"/>
      <c r="G39" s="62"/>
      <c r="H39" s="62"/>
      <c r="I39" s="62"/>
      <c r="J39" s="62"/>
    </row>
    <row r="40" spans="2:12">
      <c r="B40" s="62"/>
      <c r="C40" s="62"/>
      <c r="D40" s="62"/>
      <c r="E40" s="100"/>
      <c r="F40" s="62"/>
      <c r="G40" s="62"/>
      <c r="H40" s="62"/>
      <c r="I40" s="62"/>
      <c r="J40" s="62"/>
    </row>
    <row r="41" spans="2:12">
      <c r="B41" s="79"/>
      <c r="C41" s="79"/>
      <c r="D41" s="79"/>
      <c r="E41" s="79"/>
      <c r="F41" s="79"/>
      <c r="G41" s="79"/>
      <c r="H41" s="79"/>
      <c r="I41" s="79"/>
      <c r="J41" s="79"/>
    </row>
    <row r="42" spans="2:12">
      <c r="B42" s="62"/>
    </row>
    <row r="43" spans="2:12">
      <c r="B43" s="62"/>
      <c r="C43" s="62"/>
      <c r="D43" s="62"/>
      <c r="E43" s="62"/>
      <c r="F43" s="62"/>
      <c r="G43" s="62"/>
      <c r="H43" s="62"/>
      <c r="I43" s="62"/>
      <c r="J43" s="62"/>
    </row>
    <row r="44" spans="2:12">
      <c r="B44" s="62"/>
      <c r="C44" s="62"/>
      <c r="D44" s="62"/>
      <c r="E44" s="62"/>
      <c r="F44" s="62"/>
      <c r="G44" s="62"/>
      <c r="H44" s="62"/>
      <c r="I44" s="62"/>
      <c r="J44" s="62"/>
    </row>
    <row r="45" spans="2:12">
      <c r="B45" s="62"/>
      <c r="C45" s="62"/>
      <c r="D45" s="62"/>
      <c r="E45" s="62"/>
      <c r="F45" s="62"/>
      <c r="G45" s="62"/>
      <c r="H45" s="62"/>
      <c r="I45" s="62"/>
      <c r="J45" s="62"/>
    </row>
    <row r="46" spans="2:12">
      <c r="B46" s="62"/>
      <c r="C46" s="62"/>
      <c r="D46" s="62"/>
      <c r="E46" s="62"/>
      <c r="F46" s="62"/>
      <c r="G46" s="62"/>
      <c r="H46" s="62"/>
      <c r="I46" s="62"/>
      <c r="J46" s="62"/>
    </row>
  </sheetData>
  <mergeCells count="10">
    <mergeCell ref="C35:E35"/>
    <mergeCell ref="B1:J1"/>
    <mergeCell ref="B2:J2"/>
    <mergeCell ref="B6:E6"/>
    <mergeCell ref="C7:E7"/>
    <mergeCell ref="F4:J4"/>
    <mergeCell ref="B4:E5"/>
    <mergeCell ref="D16:E16"/>
    <mergeCell ref="C17:E17"/>
    <mergeCell ref="C34:E34"/>
  </mergeCells>
  <phoneticPr fontId="0" type="noConversion"/>
  <pageMargins left="0.1" right="0.1" top="0.24" bottom="0.1" header="0.5" footer="0.1"/>
  <pageSetup paperSize="9" orientation="landscape" blackAndWhite="1" r:id="rId1"/>
  <headerFooter alignWithMargins="0"/>
</worksheet>
</file>

<file path=xl/worksheets/sheet36.xml><?xml version="1.0" encoding="utf-8"?>
<worksheet xmlns="http://schemas.openxmlformats.org/spreadsheetml/2006/main" xmlns:r="http://schemas.openxmlformats.org/officeDocument/2006/relationships">
  <sheetPr codeName="Sheet34"/>
  <dimension ref="B1:J27"/>
  <sheetViews>
    <sheetView workbookViewId="0">
      <selection activeCell="M4" sqref="M4"/>
    </sheetView>
  </sheetViews>
  <sheetFormatPr defaultRowHeight="12.75"/>
  <cols>
    <col min="1" max="1" width="11.85546875" customWidth="1"/>
    <col min="2" max="2" width="3.140625" customWidth="1"/>
    <col min="5" max="5" width="27.140625" customWidth="1"/>
    <col min="6" max="10" width="15.7109375" customWidth="1"/>
  </cols>
  <sheetData>
    <row r="1" spans="2:10" ht="12.75" customHeight="1">
      <c r="B1" s="1893" t="s">
        <v>768</v>
      </c>
      <c r="C1" s="1893"/>
      <c r="D1" s="1893"/>
      <c r="E1" s="1893"/>
      <c r="F1" s="1893"/>
      <c r="G1" s="1893"/>
      <c r="H1" s="1893"/>
      <c r="I1" s="1893"/>
      <c r="J1" s="1893"/>
    </row>
    <row r="2" spans="2:10" ht="33" customHeight="1">
      <c r="B2" s="2078" t="str">
        <f>CONCATENATE(" Teachers in different type of Special and Non-formal Educational Institutions
 in the district of ",District!A1)</f>
        <v xml:space="preserve"> Teachers in different type of Special and Non-formal Educational Institutions
 in the district of Purba Medinipur</v>
      </c>
      <c r="C2" s="2078"/>
      <c r="D2" s="2078"/>
      <c r="E2" s="2078"/>
      <c r="F2" s="2078"/>
      <c r="G2" s="2078"/>
      <c r="H2" s="2078"/>
      <c r="I2" s="2078"/>
      <c r="J2" s="2078"/>
    </row>
    <row r="3" spans="2:10" ht="12.75" customHeight="1">
      <c r="B3" s="7"/>
      <c r="C3" s="7"/>
      <c r="D3" s="7"/>
      <c r="E3" s="7"/>
      <c r="F3" s="7"/>
      <c r="G3" s="7"/>
      <c r="H3" s="7"/>
      <c r="I3" s="7"/>
      <c r="J3" s="204" t="s">
        <v>1001</v>
      </c>
    </row>
    <row r="4" spans="2:10" ht="15" customHeight="1">
      <c r="B4" s="1866" t="s">
        <v>436</v>
      </c>
      <c r="C4" s="2046"/>
      <c r="D4" s="2046"/>
      <c r="E4" s="1906"/>
      <c r="F4" s="2048" t="s">
        <v>899</v>
      </c>
      <c r="G4" s="2049"/>
      <c r="H4" s="2049"/>
      <c r="I4" s="2049"/>
      <c r="J4" s="2050"/>
    </row>
    <row r="5" spans="2:10" ht="15" customHeight="1">
      <c r="B5" s="1860"/>
      <c r="C5" s="2047"/>
      <c r="D5" s="2047"/>
      <c r="E5" s="1907"/>
      <c r="F5" s="234" t="s">
        <v>1356</v>
      </c>
      <c r="G5" s="456" t="s">
        <v>306</v>
      </c>
      <c r="H5" s="1590" t="s">
        <v>1357</v>
      </c>
      <c r="I5" s="1590" t="s">
        <v>628</v>
      </c>
      <c r="J5" s="1590" t="s">
        <v>1639</v>
      </c>
    </row>
    <row r="6" spans="2:10" ht="15" customHeight="1">
      <c r="B6" s="2094" t="s">
        <v>955</v>
      </c>
      <c r="C6" s="2095"/>
      <c r="D6" s="2095"/>
      <c r="E6" s="2095"/>
      <c r="F6" s="137" t="s">
        <v>956</v>
      </c>
      <c r="G6" s="134" t="s">
        <v>957</v>
      </c>
      <c r="H6" s="135" t="s">
        <v>958</v>
      </c>
      <c r="I6" s="134" t="s">
        <v>959</v>
      </c>
      <c r="J6" s="134" t="s">
        <v>961</v>
      </c>
    </row>
    <row r="7" spans="2:10" ht="22.5" customHeight="1">
      <c r="B7" s="755" t="s">
        <v>1489</v>
      </c>
      <c r="C7" s="2108" t="s">
        <v>1366</v>
      </c>
      <c r="D7" s="2109"/>
      <c r="E7" s="2110"/>
      <c r="F7" s="1610">
        <v>4088</v>
      </c>
      <c r="G7" s="1610">
        <v>4032</v>
      </c>
      <c r="H7" s="1610">
        <v>4191</v>
      </c>
      <c r="I7" s="1610">
        <v>4126</v>
      </c>
      <c r="J7" s="110">
        <v>4084</v>
      </c>
    </row>
    <row r="8" spans="2:10" ht="22.5" customHeight="1">
      <c r="B8" s="755" t="s">
        <v>1490</v>
      </c>
      <c r="C8" s="2065" t="s">
        <v>1291</v>
      </c>
      <c r="D8" s="2066"/>
      <c r="E8" s="2067"/>
      <c r="F8" s="1610">
        <v>814</v>
      </c>
      <c r="G8" s="1610">
        <v>798</v>
      </c>
      <c r="H8" s="1610">
        <v>794</v>
      </c>
      <c r="I8" s="1610">
        <v>773</v>
      </c>
      <c r="J8" s="110">
        <v>750</v>
      </c>
    </row>
    <row r="9" spans="2:10" ht="22.5" customHeight="1">
      <c r="B9" s="755" t="s">
        <v>1491</v>
      </c>
      <c r="C9" s="2065" t="s">
        <v>1375</v>
      </c>
      <c r="D9" s="2066"/>
      <c r="E9" s="2067"/>
      <c r="F9" s="145" t="s">
        <v>1384</v>
      </c>
      <c r="G9" s="145" t="s">
        <v>1384</v>
      </c>
      <c r="H9" s="145" t="s">
        <v>1384</v>
      </c>
      <c r="I9" s="145" t="s">
        <v>1384</v>
      </c>
      <c r="J9" s="145" t="s">
        <v>1384</v>
      </c>
    </row>
    <row r="10" spans="2:10" ht="22.5" customHeight="1">
      <c r="B10" s="755" t="s">
        <v>1492</v>
      </c>
      <c r="C10" s="2065" t="s">
        <v>163</v>
      </c>
      <c r="D10" s="2066"/>
      <c r="E10" s="2067"/>
      <c r="F10" s="1610">
        <v>18</v>
      </c>
      <c r="G10" s="1610">
        <v>18</v>
      </c>
      <c r="H10" s="1610">
        <v>19</v>
      </c>
      <c r="I10" s="1610">
        <v>19</v>
      </c>
      <c r="J10" s="110">
        <v>22</v>
      </c>
    </row>
    <row r="11" spans="2:10" ht="22.5" customHeight="1">
      <c r="B11" s="755" t="s">
        <v>1493</v>
      </c>
      <c r="C11" s="2065" t="s">
        <v>1606</v>
      </c>
      <c r="D11" s="2066"/>
      <c r="E11" s="2067"/>
      <c r="F11" s="1610">
        <v>297</v>
      </c>
      <c r="G11" s="1610">
        <v>297</v>
      </c>
      <c r="H11" s="1610">
        <v>297</v>
      </c>
      <c r="I11" s="1610">
        <v>297</v>
      </c>
      <c r="J11" s="110">
        <v>297</v>
      </c>
    </row>
    <row r="12" spans="2:10" ht="22.5" customHeight="1">
      <c r="B12" s="755" t="s">
        <v>1494</v>
      </c>
      <c r="C12" s="2065" t="s">
        <v>1376</v>
      </c>
      <c r="D12" s="2066"/>
      <c r="E12" s="2067"/>
      <c r="F12" s="145" t="s">
        <v>1384</v>
      </c>
      <c r="G12" s="145" t="s">
        <v>1384</v>
      </c>
      <c r="H12" s="145" t="s">
        <v>1384</v>
      </c>
      <c r="I12" s="145" t="s">
        <v>1384</v>
      </c>
      <c r="J12" s="145" t="s">
        <v>1384</v>
      </c>
    </row>
    <row r="13" spans="2:10" ht="22.5" customHeight="1">
      <c r="B13" s="756" t="s">
        <v>1495</v>
      </c>
      <c r="C13" s="2074" t="s">
        <v>606</v>
      </c>
      <c r="D13" s="2075"/>
      <c r="E13" s="2076"/>
      <c r="F13" s="1610">
        <v>186</v>
      </c>
      <c r="G13" s="1610">
        <v>190</v>
      </c>
      <c r="H13" s="1610">
        <v>190</v>
      </c>
      <c r="I13" s="1610">
        <v>185</v>
      </c>
      <c r="J13" s="110">
        <v>78</v>
      </c>
    </row>
    <row r="14" spans="2:10" ht="22.5" customHeight="1">
      <c r="B14" s="755" t="s">
        <v>1496</v>
      </c>
      <c r="C14" s="2065" t="s">
        <v>1377</v>
      </c>
      <c r="D14" s="2066"/>
      <c r="E14" s="2067"/>
      <c r="F14" s="1610" t="s">
        <v>1384</v>
      </c>
      <c r="G14" s="1610" t="s">
        <v>1384</v>
      </c>
      <c r="H14" s="1610" t="s">
        <v>1384</v>
      </c>
      <c r="I14" s="1610" t="s">
        <v>1384</v>
      </c>
      <c r="J14" s="110" t="s">
        <v>1384</v>
      </c>
    </row>
    <row r="15" spans="2:10" ht="22.5" customHeight="1">
      <c r="B15" s="755" t="s">
        <v>171</v>
      </c>
      <c r="C15" s="2065" t="s">
        <v>1378</v>
      </c>
      <c r="D15" s="2066"/>
      <c r="E15" s="2067"/>
      <c r="F15" s="441">
        <v>5319</v>
      </c>
      <c r="G15" s="441">
        <v>5319</v>
      </c>
      <c r="H15" s="441">
        <v>5342</v>
      </c>
      <c r="I15" s="441">
        <v>5504</v>
      </c>
      <c r="J15" s="441">
        <v>5594</v>
      </c>
    </row>
    <row r="16" spans="2:10" ht="22.5" customHeight="1">
      <c r="B16" s="755" t="s">
        <v>172</v>
      </c>
      <c r="C16" s="2065" t="s">
        <v>1379</v>
      </c>
      <c r="D16" s="2066"/>
      <c r="E16" s="2067"/>
      <c r="F16" s="1610">
        <v>5</v>
      </c>
      <c r="G16" s="1610">
        <v>5</v>
      </c>
      <c r="H16" s="1610">
        <v>5</v>
      </c>
      <c r="I16" s="1610">
        <v>2</v>
      </c>
      <c r="J16" s="110">
        <v>2</v>
      </c>
    </row>
    <row r="17" spans="2:10" ht="41.25" customHeight="1">
      <c r="B17" s="757" t="s">
        <v>173</v>
      </c>
      <c r="C17" s="2074" t="s">
        <v>607</v>
      </c>
      <c r="D17" s="2075"/>
      <c r="E17" s="2076"/>
      <c r="F17" s="145" t="s">
        <v>1384</v>
      </c>
      <c r="G17" s="583" t="s">
        <v>1384</v>
      </c>
      <c r="H17" s="145" t="s">
        <v>1384</v>
      </c>
      <c r="I17" s="145" t="s">
        <v>1384</v>
      </c>
      <c r="J17" s="145" t="s">
        <v>1384</v>
      </c>
    </row>
    <row r="18" spans="2:10" ht="22.5" customHeight="1">
      <c r="B18" s="755" t="s">
        <v>174</v>
      </c>
      <c r="C18" s="2071" t="s">
        <v>862</v>
      </c>
      <c r="D18" s="2072"/>
      <c r="E18" s="2073"/>
      <c r="F18" s="145" t="s">
        <v>1384</v>
      </c>
      <c r="G18" s="583" t="s">
        <v>1384</v>
      </c>
      <c r="H18" s="145" t="s">
        <v>1384</v>
      </c>
      <c r="I18" s="145" t="s">
        <v>1384</v>
      </c>
      <c r="J18" s="145" t="s">
        <v>1384</v>
      </c>
    </row>
    <row r="19" spans="2:10" ht="21" customHeight="1">
      <c r="B19" s="119"/>
      <c r="C19" s="2077" t="s">
        <v>979</v>
      </c>
      <c r="D19" s="2077"/>
      <c r="E19" s="1947"/>
      <c r="F19" s="275">
        <f>SUM(F7:F18)</f>
        <v>10727</v>
      </c>
      <c r="G19" s="1595">
        <f>SUM(G7:G18)</f>
        <v>10659</v>
      </c>
      <c r="H19" s="1595">
        <f>SUM(H7:H18)</f>
        <v>10838</v>
      </c>
      <c r="I19" s="1595">
        <f>SUM(I7:I18)</f>
        <v>10906</v>
      </c>
      <c r="J19" s="139">
        <f>SUM(J7:J18)</f>
        <v>10827</v>
      </c>
    </row>
    <row r="20" spans="2:10" ht="12" customHeight="1">
      <c r="G20" s="1063" t="s">
        <v>1525</v>
      </c>
      <c r="H20" s="1060" t="s">
        <v>1380</v>
      </c>
      <c r="I20" s="320"/>
      <c r="J20" s="320"/>
    </row>
    <row r="21" spans="2:10" ht="12" customHeight="1">
      <c r="F21" s="319"/>
      <c r="G21" s="1041"/>
      <c r="H21" s="1060" t="s">
        <v>1381</v>
      </c>
      <c r="I21" s="320"/>
      <c r="J21" s="320"/>
    </row>
    <row r="22" spans="2:10" ht="12" customHeight="1">
      <c r="F22" s="319"/>
      <c r="G22" s="1041"/>
      <c r="H22" s="1060" t="s">
        <v>1187</v>
      </c>
      <c r="I22" s="320"/>
      <c r="J22" s="320"/>
    </row>
    <row r="23" spans="2:10" ht="12" customHeight="1">
      <c r="F23" s="319"/>
      <c r="G23" s="1041"/>
      <c r="H23" s="1060" t="s">
        <v>1382</v>
      </c>
      <c r="I23" s="320"/>
      <c r="J23" s="320"/>
    </row>
    <row r="24" spans="2:10" ht="12" customHeight="1">
      <c r="F24" s="319"/>
      <c r="G24" s="1041"/>
      <c r="H24" s="1060" t="s">
        <v>103</v>
      </c>
      <c r="I24" s="320"/>
      <c r="J24" s="320"/>
    </row>
    <row r="25" spans="2:10" ht="12" customHeight="1">
      <c r="F25" s="319"/>
      <c r="G25" s="1041"/>
      <c r="H25" s="1060" t="s">
        <v>1318</v>
      </c>
      <c r="I25" s="320"/>
      <c r="J25" s="320"/>
    </row>
    <row r="26" spans="2:10" ht="12" customHeight="1">
      <c r="F26" s="319"/>
      <c r="G26" s="1041"/>
      <c r="H26" s="1133" t="s">
        <v>1407</v>
      </c>
      <c r="I26" s="630"/>
      <c r="J26" s="630"/>
    </row>
    <row r="27" spans="2:10" ht="12" customHeight="1">
      <c r="G27" s="1041"/>
      <c r="H27" s="1060" t="s">
        <v>142</v>
      </c>
      <c r="I27" s="320"/>
      <c r="J27" s="6"/>
    </row>
  </sheetData>
  <mergeCells count="18">
    <mergeCell ref="B1:J1"/>
    <mergeCell ref="C19:E19"/>
    <mergeCell ref="C17:E17"/>
    <mergeCell ref="C18:E18"/>
    <mergeCell ref="C13:E13"/>
    <mergeCell ref="C14:E14"/>
    <mergeCell ref="C15:E15"/>
    <mergeCell ref="C16:E16"/>
    <mergeCell ref="C9:E9"/>
    <mergeCell ref="C10:E10"/>
    <mergeCell ref="C11:E11"/>
    <mergeCell ref="C12:E12"/>
    <mergeCell ref="B2:J2"/>
    <mergeCell ref="B6:E6"/>
    <mergeCell ref="C7:E7"/>
    <mergeCell ref="F4:J4"/>
    <mergeCell ref="B4:E5"/>
    <mergeCell ref="C8:E8"/>
  </mergeCells>
  <phoneticPr fontId="0" type="noConversion"/>
  <pageMargins left="0.1" right="0.1" top="0.76" bottom="0.1" header="0.21" footer="0.1"/>
  <pageSetup paperSize="9" orientation="landscape" blackAndWhite="1" r:id="rId1"/>
  <headerFooter alignWithMargins="0"/>
</worksheet>
</file>

<file path=xl/worksheets/sheet37.xml><?xml version="1.0" encoding="utf-8"?>
<worksheet xmlns="http://schemas.openxmlformats.org/spreadsheetml/2006/main" xmlns:r="http://schemas.openxmlformats.org/officeDocument/2006/relationships">
  <dimension ref="B1:AB42"/>
  <sheetViews>
    <sheetView workbookViewId="0">
      <selection activeCell="U41" sqref="U41"/>
    </sheetView>
  </sheetViews>
  <sheetFormatPr defaultRowHeight="12.75"/>
  <cols>
    <col min="1" max="1" width="5.28515625" style="11" customWidth="1"/>
    <col min="2" max="2" width="20.5703125" style="11" customWidth="1"/>
    <col min="3" max="14" width="9.5703125" style="11" customWidth="1"/>
    <col min="15" max="15" width="7.140625" style="11" customWidth="1"/>
    <col min="16" max="16" width="22.42578125" style="11" customWidth="1"/>
    <col min="17" max="25" width="12.42578125" style="11" customWidth="1"/>
    <col min="26" max="16384" width="9.140625" style="11"/>
  </cols>
  <sheetData>
    <row r="1" spans="2:28" ht="12" customHeight="1">
      <c r="B1" s="1825" t="s">
        <v>767</v>
      </c>
      <c r="C1" s="1825"/>
      <c r="D1" s="1825"/>
      <c r="E1" s="1825"/>
      <c r="F1" s="1825"/>
      <c r="G1" s="1825"/>
      <c r="H1" s="1825"/>
      <c r="I1" s="1825"/>
      <c r="J1" s="1825"/>
      <c r="K1" s="1825"/>
      <c r="L1" s="1825"/>
      <c r="M1" s="1825"/>
      <c r="N1" s="1825"/>
      <c r="O1" s="428"/>
      <c r="P1" s="428"/>
      <c r="R1" s="428"/>
      <c r="S1" s="428"/>
      <c r="T1" s="428"/>
      <c r="U1" s="428"/>
      <c r="V1" s="428"/>
      <c r="W1" s="428"/>
      <c r="X1" s="428"/>
      <c r="Y1" s="428"/>
      <c r="Z1" s="428"/>
    </row>
    <row r="2" spans="2:28" ht="15.75" customHeight="1">
      <c r="B2" s="2078" t="str">
        <f>CONCATENATE(" Institutions, Students &amp; Teachers by Block and Municipality in the district of ",District!A1," for the year ", District!B3)</f>
        <v xml:space="preserve"> Institutions, Students &amp; Teachers by Block and Municipality in the district of Purba Medinipur for the year 2013-14</v>
      </c>
      <c r="C2" s="2078"/>
      <c r="D2" s="2078"/>
      <c r="E2" s="2078"/>
      <c r="F2" s="2078"/>
      <c r="G2" s="2078"/>
      <c r="H2" s="2078"/>
      <c r="I2" s="2078"/>
      <c r="J2" s="2078"/>
      <c r="K2" s="2078"/>
      <c r="L2" s="2078"/>
      <c r="M2" s="2078"/>
      <c r="N2" s="2078"/>
      <c r="O2" s="476"/>
      <c r="P2" s="1825" t="s">
        <v>453</v>
      </c>
      <c r="Q2" s="1825"/>
      <c r="R2" s="1825"/>
      <c r="S2" s="1825"/>
      <c r="T2" s="1825"/>
      <c r="U2" s="1825"/>
      <c r="V2" s="1825"/>
      <c r="W2" s="1825"/>
      <c r="X2" s="1825"/>
      <c r="Y2" s="1825"/>
      <c r="AA2" s="1644"/>
    </row>
    <row r="3" spans="2:28" ht="12.75" customHeight="1">
      <c r="B3" s="12"/>
      <c r="C3" s="12"/>
      <c r="D3" s="12"/>
      <c r="E3" s="12"/>
      <c r="F3" s="12"/>
      <c r="G3" s="12"/>
      <c r="H3" s="12"/>
      <c r="I3" s="12"/>
      <c r="J3" s="12"/>
      <c r="K3" s="12"/>
      <c r="L3" s="12"/>
      <c r="M3" s="12"/>
      <c r="N3" s="204" t="s">
        <v>1001</v>
      </c>
      <c r="O3" s="486"/>
      <c r="P3" s="12"/>
      <c r="Q3" s="12"/>
      <c r="R3" s="12"/>
      <c r="S3" s="12"/>
      <c r="T3" s="12"/>
      <c r="U3" s="12"/>
      <c r="V3" s="12"/>
      <c r="W3" s="12"/>
      <c r="X3" s="12"/>
      <c r="Y3" s="204" t="s">
        <v>1001</v>
      </c>
      <c r="AA3" s="204"/>
    </row>
    <row r="4" spans="2:28" ht="27" customHeight="1">
      <c r="B4" s="1833" t="s">
        <v>162</v>
      </c>
      <c r="C4" s="1939" t="s">
        <v>1221</v>
      </c>
      <c r="D4" s="1939"/>
      <c r="E4" s="1905"/>
      <c r="F4" s="1869" t="s">
        <v>1222</v>
      </c>
      <c r="G4" s="1939"/>
      <c r="H4" s="1905"/>
      <c r="I4" s="1869" t="s">
        <v>1223</v>
      </c>
      <c r="J4" s="1939"/>
      <c r="K4" s="1905"/>
      <c r="L4" s="1869" t="s">
        <v>1234</v>
      </c>
      <c r="M4" s="1939"/>
      <c r="N4" s="1905"/>
      <c r="O4" s="229"/>
      <c r="P4" s="1833" t="s">
        <v>162</v>
      </c>
      <c r="Q4" s="1869" t="s">
        <v>1338</v>
      </c>
      <c r="R4" s="1939"/>
      <c r="S4" s="1905"/>
      <c r="T4" s="1869" t="s">
        <v>1182</v>
      </c>
      <c r="U4" s="1939"/>
      <c r="V4" s="1905"/>
      <c r="W4" s="1939" t="s">
        <v>489</v>
      </c>
      <c r="X4" s="1939"/>
      <c r="Y4" s="1905"/>
      <c r="AA4" s="1646"/>
    </row>
    <row r="5" spans="2:28" ht="14.25" customHeight="1">
      <c r="B5" s="1834"/>
      <c r="C5" s="162" t="s">
        <v>1133</v>
      </c>
      <c r="D5" s="162" t="s">
        <v>1134</v>
      </c>
      <c r="E5" s="163" t="s">
        <v>1135</v>
      </c>
      <c r="F5" s="162" t="s">
        <v>1133</v>
      </c>
      <c r="G5" s="162" t="s">
        <v>1134</v>
      </c>
      <c r="H5" s="163" t="s">
        <v>1135</v>
      </c>
      <c r="I5" s="162" t="s">
        <v>1133</v>
      </c>
      <c r="J5" s="162" t="s">
        <v>1134</v>
      </c>
      <c r="K5" s="163" t="s">
        <v>1135</v>
      </c>
      <c r="L5" s="164" t="s">
        <v>1133</v>
      </c>
      <c r="M5" s="429" t="s">
        <v>1134</v>
      </c>
      <c r="N5" s="163" t="s">
        <v>1135</v>
      </c>
      <c r="O5" s="487"/>
      <c r="P5" s="1834"/>
      <c r="Q5" s="162" t="s">
        <v>1133</v>
      </c>
      <c r="R5" s="162" t="s">
        <v>1134</v>
      </c>
      <c r="S5" s="163" t="s">
        <v>1135</v>
      </c>
      <c r="T5" s="162" t="s">
        <v>1133</v>
      </c>
      <c r="U5" s="162" t="s">
        <v>1134</v>
      </c>
      <c r="V5" s="163" t="s">
        <v>1135</v>
      </c>
      <c r="W5" s="162" t="s">
        <v>1133</v>
      </c>
      <c r="X5" s="162" t="s">
        <v>1134</v>
      </c>
      <c r="Y5" s="163" t="s">
        <v>1135</v>
      </c>
      <c r="AA5" s="1652"/>
    </row>
    <row r="6" spans="2:28" ht="12.75" customHeight="1">
      <c r="B6" s="134" t="s">
        <v>955</v>
      </c>
      <c r="C6" s="135" t="s">
        <v>956</v>
      </c>
      <c r="D6" s="135" t="s">
        <v>957</v>
      </c>
      <c r="E6" s="136" t="s">
        <v>958</v>
      </c>
      <c r="F6" s="137" t="s">
        <v>959</v>
      </c>
      <c r="G6" s="135" t="s">
        <v>961</v>
      </c>
      <c r="H6" s="136" t="s">
        <v>962</v>
      </c>
      <c r="I6" s="137" t="s">
        <v>990</v>
      </c>
      <c r="J6" s="135" t="s">
        <v>991</v>
      </c>
      <c r="K6" s="136" t="s">
        <v>992</v>
      </c>
      <c r="L6" s="137" t="s">
        <v>993</v>
      </c>
      <c r="M6" s="135" t="s">
        <v>1046</v>
      </c>
      <c r="N6" s="136" t="s">
        <v>1048</v>
      </c>
      <c r="O6" s="488"/>
      <c r="P6" s="134" t="s">
        <v>955</v>
      </c>
      <c r="Q6" s="137" t="s">
        <v>1049</v>
      </c>
      <c r="R6" s="135" t="s">
        <v>1050</v>
      </c>
      <c r="S6" s="136" t="s">
        <v>1051</v>
      </c>
      <c r="T6" s="137" t="s">
        <v>1052</v>
      </c>
      <c r="U6" s="135" t="s">
        <v>1054</v>
      </c>
      <c r="V6" s="136" t="s">
        <v>1053</v>
      </c>
      <c r="W6" s="135" t="s">
        <v>1431</v>
      </c>
      <c r="X6" s="135" t="s">
        <v>1432</v>
      </c>
      <c r="Y6" s="136" t="s">
        <v>1433</v>
      </c>
      <c r="AA6" s="555"/>
    </row>
    <row r="7" spans="2:28" ht="12.75" customHeight="1">
      <c r="B7" s="603" t="s">
        <v>1273</v>
      </c>
      <c r="C7" s="360">
        <f t="shared" ref="C7:Y7" si="0">SUM(C8:C16)</f>
        <v>1084</v>
      </c>
      <c r="D7" s="360">
        <f>SUM(D8:D16)</f>
        <v>84258</v>
      </c>
      <c r="E7" s="631">
        <f t="shared" si="0"/>
        <v>4266</v>
      </c>
      <c r="F7" s="317">
        <f t="shared" si="0"/>
        <v>78</v>
      </c>
      <c r="G7" s="360">
        <f t="shared" si="0"/>
        <v>5789</v>
      </c>
      <c r="H7" s="307">
        <f t="shared" si="0"/>
        <v>240</v>
      </c>
      <c r="I7" s="317">
        <f t="shared" si="0"/>
        <v>77</v>
      </c>
      <c r="J7" s="360">
        <f t="shared" si="0"/>
        <v>43408</v>
      </c>
      <c r="K7" s="307">
        <f t="shared" si="0"/>
        <v>1214</v>
      </c>
      <c r="L7" s="317">
        <f>SUM(L8:L16)</f>
        <v>144</v>
      </c>
      <c r="M7" s="360">
        <f>SUM(M8:M16)</f>
        <v>171516</v>
      </c>
      <c r="N7" s="307">
        <f t="shared" si="0"/>
        <v>2818</v>
      </c>
      <c r="O7" s="178"/>
      <c r="P7" s="603" t="s">
        <v>1273</v>
      </c>
      <c r="Q7" s="317">
        <f t="shared" si="0"/>
        <v>6</v>
      </c>
      <c r="R7" s="360">
        <f t="shared" si="0"/>
        <v>12728</v>
      </c>
      <c r="S7" s="307">
        <f>SUM(S8:S16)</f>
        <v>112</v>
      </c>
      <c r="T7" s="360">
        <f t="shared" si="0"/>
        <v>17</v>
      </c>
      <c r="U7" s="360">
        <f t="shared" si="0"/>
        <v>2747</v>
      </c>
      <c r="V7" s="307">
        <f t="shared" si="0"/>
        <v>197</v>
      </c>
      <c r="W7" s="1217">
        <f t="shared" si="0"/>
        <v>2704</v>
      </c>
      <c r="X7" s="360">
        <f t="shared" si="0"/>
        <v>112411</v>
      </c>
      <c r="Y7" s="307">
        <f t="shared" si="0"/>
        <v>3555</v>
      </c>
      <c r="AA7" s="360"/>
      <c r="AB7" s="12"/>
    </row>
    <row r="8" spans="2:28" ht="12.75" customHeight="1">
      <c r="B8" s="267" t="s">
        <v>337</v>
      </c>
      <c r="C8" s="454">
        <v>145</v>
      </c>
      <c r="D8" s="454">
        <v>10597</v>
      </c>
      <c r="E8" s="447">
        <v>557</v>
      </c>
      <c r="F8" s="446">
        <v>6</v>
      </c>
      <c r="G8" s="454">
        <v>552</v>
      </c>
      <c r="H8" s="447">
        <v>30</v>
      </c>
      <c r="I8" s="1598">
        <v>10</v>
      </c>
      <c r="J8" s="1599">
        <v>6923</v>
      </c>
      <c r="K8" s="1591">
        <v>150</v>
      </c>
      <c r="L8" s="1598">
        <v>20</v>
      </c>
      <c r="M8" s="1599">
        <v>22595</v>
      </c>
      <c r="N8" s="1591">
        <v>412</v>
      </c>
      <c r="O8" s="96"/>
      <c r="P8" s="267" t="s">
        <v>337</v>
      </c>
      <c r="Q8" s="1598" t="s">
        <v>1384</v>
      </c>
      <c r="R8" s="1599" t="s">
        <v>1384</v>
      </c>
      <c r="S8" s="1599" t="s">
        <v>1384</v>
      </c>
      <c r="T8" s="1598">
        <v>5</v>
      </c>
      <c r="U8" s="1599">
        <v>208</v>
      </c>
      <c r="V8" s="1599">
        <v>14</v>
      </c>
      <c r="W8" s="1598">
        <v>368</v>
      </c>
      <c r="X8" s="1599">
        <v>17317</v>
      </c>
      <c r="Y8" s="1591">
        <v>450</v>
      </c>
      <c r="AA8" s="1747"/>
      <c r="AB8" s="12"/>
    </row>
    <row r="9" spans="2:28" ht="12.75" customHeight="1">
      <c r="B9" s="267" t="s">
        <v>1386</v>
      </c>
      <c r="C9" s="454">
        <v>112</v>
      </c>
      <c r="D9" s="454">
        <v>8513</v>
      </c>
      <c r="E9" s="447">
        <v>409</v>
      </c>
      <c r="F9" s="446">
        <v>14</v>
      </c>
      <c r="G9" s="454">
        <v>1776</v>
      </c>
      <c r="H9" s="447">
        <v>36</v>
      </c>
      <c r="I9" s="1598">
        <v>9</v>
      </c>
      <c r="J9" s="1599">
        <v>3940</v>
      </c>
      <c r="K9" s="1591">
        <v>89</v>
      </c>
      <c r="L9" s="1598">
        <v>14</v>
      </c>
      <c r="M9" s="1599">
        <v>16454</v>
      </c>
      <c r="N9" s="1591">
        <v>284</v>
      </c>
      <c r="O9" s="96"/>
      <c r="P9" s="267" t="s">
        <v>1386</v>
      </c>
      <c r="Q9" s="1598" t="s">
        <v>1384</v>
      </c>
      <c r="R9" s="1599" t="s">
        <v>1384</v>
      </c>
      <c r="S9" s="1599" t="s">
        <v>1384</v>
      </c>
      <c r="T9" s="1598" t="s">
        <v>1384</v>
      </c>
      <c r="U9" s="1599" t="s">
        <v>1384</v>
      </c>
      <c r="V9" s="1599" t="s">
        <v>1384</v>
      </c>
      <c r="W9" s="1598">
        <v>285</v>
      </c>
      <c r="X9" s="1599">
        <v>12339</v>
      </c>
      <c r="Y9" s="1591">
        <v>383</v>
      </c>
      <c r="AA9" s="1747"/>
      <c r="AB9" s="12"/>
    </row>
    <row r="10" spans="2:28" ht="12.75" customHeight="1">
      <c r="B10" s="267" t="s">
        <v>1388</v>
      </c>
      <c r="C10" s="454">
        <v>180</v>
      </c>
      <c r="D10" s="454">
        <v>14542</v>
      </c>
      <c r="E10" s="447">
        <v>714</v>
      </c>
      <c r="F10" s="446">
        <v>13</v>
      </c>
      <c r="G10" s="454">
        <v>977</v>
      </c>
      <c r="H10" s="447">
        <v>28</v>
      </c>
      <c r="I10" s="1598">
        <v>15</v>
      </c>
      <c r="J10" s="1599">
        <v>6146</v>
      </c>
      <c r="K10" s="1591">
        <v>251</v>
      </c>
      <c r="L10" s="1598">
        <v>23</v>
      </c>
      <c r="M10" s="1231">
        <v>23389</v>
      </c>
      <c r="N10" s="1591">
        <v>460</v>
      </c>
      <c r="O10" s="96"/>
      <c r="P10" s="267" t="s">
        <v>1388</v>
      </c>
      <c r="Q10" s="1598">
        <v>1</v>
      </c>
      <c r="R10" s="1599">
        <v>85</v>
      </c>
      <c r="S10" s="1785" t="s">
        <v>1279</v>
      </c>
      <c r="T10" s="1218">
        <v>4</v>
      </c>
      <c r="U10" s="1219">
        <v>350</v>
      </c>
      <c r="V10" s="1219">
        <v>41</v>
      </c>
      <c r="W10" s="1598">
        <v>559</v>
      </c>
      <c r="X10" s="1599">
        <v>23060</v>
      </c>
      <c r="Y10" s="1591">
        <v>756</v>
      </c>
      <c r="AA10" s="1747"/>
      <c r="AB10" s="12"/>
    </row>
    <row r="11" spans="2:28" ht="12.75" customHeight="1">
      <c r="B11" s="165" t="s">
        <v>1568</v>
      </c>
      <c r="C11" s="454">
        <v>153</v>
      </c>
      <c r="D11" s="1406">
        <v>13948</v>
      </c>
      <c r="E11" s="447">
        <v>616</v>
      </c>
      <c r="F11" s="446">
        <v>13</v>
      </c>
      <c r="G11" s="454">
        <v>873</v>
      </c>
      <c r="H11" s="447">
        <v>38</v>
      </c>
      <c r="I11" s="1598">
        <v>7</v>
      </c>
      <c r="J11" s="1599">
        <v>5206</v>
      </c>
      <c r="K11" s="1591">
        <v>111</v>
      </c>
      <c r="L11" s="1598">
        <v>21</v>
      </c>
      <c r="M11" s="1599">
        <v>31035</v>
      </c>
      <c r="N11" s="1591">
        <v>463</v>
      </c>
      <c r="O11" s="96"/>
      <c r="P11" s="165" t="s">
        <v>1568</v>
      </c>
      <c r="Q11" s="1598">
        <v>1</v>
      </c>
      <c r="R11" s="1599">
        <v>102</v>
      </c>
      <c r="S11" s="1599">
        <v>7</v>
      </c>
      <c r="T11" s="1598">
        <v>1</v>
      </c>
      <c r="U11" s="1599">
        <v>1493</v>
      </c>
      <c r="V11" s="1599">
        <v>84</v>
      </c>
      <c r="W11" s="1598">
        <v>387</v>
      </c>
      <c r="X11" s="1599">
        <v>12038</v>
      </c>
      <c r="Y11" s="1591">
        <v>426</v>
      </c>
      <c r="AA11" s="1747"/>
      <c r="AB11" s="12"/>
    </row>
    <row r="12" spans="2:28" ht="12.75" customHeight="1">
      <c r="B12" s="267" t="s">
        <v>1390</v>
      </c>
      <c r="C12" s="454">
        <v>153</v>
      </c>
      <c r="D12" s="454">
        <v>9411</v>
      </c>
      <c r="E12" s="447">
        <v>598</v>
      </c>
      <c r="F12" s="446">
        <v>9</v>
      </c>
      <c r="G12" s="454">
        <v>223</v>
      </c>
      <c r="H12" s="447">
        <v>25</v>
      </c>
      <c r="I12" s="1598">
        <v>10</v>
      </c>
      <c r="J12" s="1599">
        <v>5581</v>
      </c>
      <c r="K12" s="1591">
        <v>248</v>
      </c>
      <c r="L12" s="1408">
        <v>20</v>
      </c>
      <c r="M12" s="1599">
        <v>25503</v>
      </c>
      <c r="N12" s="1591">
        <v>338</v>
      </c>
      <c r="O12" s="96"/>
      <c r="P12" s="267" t="s">
        <v>1390</v>
      </c>
      <c r="Q12" s="1598">
        <v>1</v>
      </c>
      <c r="R12" s="1599">
        <v>1872</v>
      </c>
      <c r="S12" s="1591">
        <v>10</v>
      </c>
      <c r="T12" s="1598">
        <v>2</v>
      </c>
      <c r="U12" s="1599">
        <v>189</v>
      </c>
      <c r="V12" s="1599">
        <v>20</v>
      </c>
      <c r="W12" s="1598">
        <v>350</v>
      </c>
      <c r="X12" s="1599">
        <v>14279</v>
      </c>
      <c r="Y12" s="1591">
        <v>539</v>
      </c>
      <c r="AA12" s="1747"/>
      <c r="AB12" s="12"/>
    </row>
    <row r="13" spans="2:28" ht="12.75" customHeight="1">
      <c r="B13" s="267" t="s">
        <v>1391</v>
      </c>
      <c r="C13" s="454">
        <v>163</v>
      </c>
      <c r="D13" s="454">
        <v>12345</v>
      </c>
      <c r="E13" s="447">
        <v>645</v>
      </c>
      <c r="F13" s="446">
        <v>19</v>
      </c>
      <c r="G13" s="454">
        <v>847</v>
      </c>
      <c r="H13" s="447">
        <v>56</v>
      </c>
      <c r="I13" s="1598">
        <v>8</v>
      </c>
      <c r="J13" s="1599">
        <v>6378</v>
      </c>
      <c r="K13" s="1591">
        <v>138</v>
      </c>
      <c r="L13" s="1598">
        <v>20</v>
      </c>
      <c r="M13" s="1599">
        <v>23115</v>
      </c>
      <c r="N13" s="1591">
        <v>339</v>
      </c>
      <c r="O13" s="96"/>
      <c r="P13" s="267" t="s">
        <v>1391</v>
      </c>
      <c r="Q13" s="1598">
        <v>1</v>
      </c>
      <c r="R13" s="1599">
        <v>1068</v>
      </c>
      <c r="S13" s="1599">
        <v>4</v>
      </c>
      <c r="T13" s="1598" t="s">
        <v>1384</v>
      </c>
      <c r="U13" s="1599" t="s">
        <v>1384</v>
      </c>
      <c r="V13" s="1599" t="s">
        <v>1384</v>
      </c>
      <c r="W13" s="1598">
        <v>379</v>
      </c>
      <c r="X13" s="1599">
        <v>16703</v>
      </c>
      <c r="Y13" s="1591">
        <v>493</v>
      </c>
      <c r="AA13" s="1747"/>
      <c r="AB13" s="12"/>
    </row>
    <row r="14" spans="2:28" ht="12.75" customHeight="1">
      <c r="B14" s="604" t="s">
        <v>1569</v>
      </c>
      <c r="C14" s="454">
        <v>121</v>
      </c>
      <c r="D14" s="454">
        <v>9247</v>
      </c>
      <c r="E14" s="447">
        <v>434</v>
      </c>
      <c r="F14" s="446">
        <v>3</v>
      </c>
      <c r="G14" s="454">
        <v>530</v>
      </c>
      <c r="H14" s="447">
        <v>24</v>
      </c>
      <c r="I14" s="1598">
        <v>15</v>
      </c>
      <c r="J14" s="1599">
        <v>7339</v>
      </c>
      <c r="K14" s="1591">
        <v>187</v>
      </c>
      <c r="L14" s="1598">
        <v>16</v>
      </c>
      <c r="M14" s="1599">
        <v>16672</v>
      </c>
      <c r="N14" s="1591">
        <v>256</v>
      </c>
      <c r="O14" s="96"/>
      <c r="P14" s="604" t="s">
        <v>1345</v>
      </c>
      <c r="Q14" s="1598" t="s">
        <v>1384</v>
      </c>
      <c r="R14" s="1599" t="s">
        <v>1384</v>
      </c>
      <c r="S14" s="1599" t="s">
        <v>1384</v>
      </c>
      <c r="T14" s="1598">
        <v>1</v>
      </c>
      <c r="U14" s="1599">
        <v>99</v>
      </c>
      <c r="V14" s="1599">
        <v>10</v>
      </c>
      <c r="W14" s="1598">
        <v>283</v>
      </c>
      <c r="X14" s="1599">
        <v>12890</v>
      </c>
      <c r="Y14" s="1591">
        <v>387</v>
      </c>
      <c r="AA14" s="1747"/>
      <c r="AB14" s="12"/>
    </row>
    <row r="15" spans="2:28" ht="12.75" customHeight="1">
      <c r="B15" s="267" t="s">
        <v>1383</v>
      </c>
      <c r="C15" s="454">
        <v>34</v>
      </c>
      <c r="D15" s="454">
        <v>2652</v>
      </c>
      <c r="E15" s="447">
        <v>160</v>
      </c>
      <c r="F15" s="446">
        <v>1</v>
      </c>
      <c r="G15" s="454">
        <v>11</v>
      </c>
      <c r="H15" s="447">
        <v>3</v>
      </c>
      <c r="I15" s="1598" t="s">
        <v>1384</v>
      </c>
      <c r="J15" s="1599" t="s">
        <v>1384</v>
      </c>
      <c r="K15" s="1591" t="s">
        <v>1384</v>
      </c>
      <c r="L15" s="1598">
        <v>8</v>
      </c>
      <c r="M15" s="1599">
        <v>8591</v>
      </c>
      <c r="N15" s="1591">
        <v>215</v>
      </c>
      <c r="O15" s="96"/>
      <c r="P15" s="267" t="s">
        <v>1383</v>
      </c>
      <c r="Q15" s="1598">
        <v>1</v>
      </c>
      <c r="R15" s="1599">
        <v>2619</v>
      </c>
      <c r="S15" s="1591">
        <v>48</v>
      </c>
      <c r="T15" s="1598">
        <v>3</v>
      </c>
      <c r="U15" s="1599">
        <v>257</v>
      </c>
      <c r="V15" s="1599">
        <v>19</v>
      </c>
      <c r="W15" s="1598">
        <v>41</v>
      </c>
      <c r="X15" s="1599">
        <v>1763</v>
      </c>
      <c r="Y15" s="1591">
        <v>52</v>
      </c>
      <c r="AA15" s="1747"/>
      <c r="AB15" s="12"/>
    </row>
    <row r="16" spans="2:28" ht="12.75" customHeight="1">
      <c r="B16" s="267" t="s">
        <v>1389</v>
      </c>
      <c r="C16" s="454">
        <v>23</v>
      </c>
      <c r="D16" s="454">
        <v>3003</v>
      </c>
      <c r="E16" s="447">
        <v>133</v>
      </c>
      <c r="F16" s="446" t="s">
        <v>1384</v>
      </c>
      <c r="G16" s="454" t="s">
        <v>1384</v>
      </c>
      <c r="H16" s="447" t="s">
        <v>1384</v>
      </c>
      <c r="I16" s="1598">
        <v>3</v>
      </c>
      <c r="J16" s="1599">
        <v>1895</v>
      </c>
      <c r="K16" s="1591">
        <v>40</v>
      </c>
      <c r="L16" s="1598">
        <v>2</v>
      </c>
      <c r="M16" s="1599">
        <v>4162</v>
      </c>
      <c r="N16" s="1591">
        <v>51</v>
      </c>
      <c r="O16" s="96"/>
      <c r="P16" s="267" t="s">
        <v>1389</v>
      </c>
      <c r="Q16" s="1598">
        <v>1</v>
      </c>
      <c r="R16" s="1599">
        <v>6982</v>
      </c>
      <c r="S16" s="1591">
        <v>43</v>
      </c>
      <c r="T16" s="1598">
        <v>1</v>
      </c>
      <c r="U16" s="1599">
        <v>151</v>
      </c>
      <c r="V16" s="1599">
        <v>9</v>
      </c>
      <c r="W16" s="1598">
        <v>52</v>
      </c>
      <c r="X16" s="1599">
        <v>2022</v>
      </c>
      <c r="Y16" s="1591">
        <v>69</v>
      </c>
      <c r="AA16" s="1747"/>
      <c r="AB16" s="12"/>
    </row>
    <row r="17" spans="2:28" ht="12.75" customHeight="1">
      <c r="B17" s="386" t="s">
        <v>842</v>
      </c>
      <c r="C17" s="360">
        <f t="shared" ref="C17:Y17" si="1">SUM(C18:C23)</f>
        <v>557</v>
      </c>
      <c r="D17" s="360">
        <f t="shared" si="1"/>
        <v>43173</v>
      </c>
      <c r="E17" s="307">
        <f t="shared" si="1"/>
        <v>2291</v>
      </c>
      <c r="F17" s="317">
        <f t="shared" si="1"/>
        <v>40</v>
      </c>
      <c r="G17" s="360">
        <f t="shared" si="1"/>
        <v>5082</v>
      </c>
      <c r="H17" s="307">
        <f t="shared" si="1"/>
        <v>139</v>
      </c>
      <c r="I17" s="317">
        <f t="shared" si="1"/>
        <v>54</v>
      </c>
      <c r="J17" s="360">
        <f t="shared" si="1"/>
        <v>36767</v>
      </c>
      <c r="K17" s="360">
        <f t="shared" si="1"/>
        <v>843</v>
      </c>
      <c r="L17" s="317">
        <f t="shared" si="1"/>
        <v>77</v>
      </c>
      <c r="M17" s="360">
        <f t="shared" si="1"/>
        <v>83659</v>
      </c>
      <c r="N17" s="307">
        <f t="shared" si="1"/>
        <v>1654</v>
      </c>
      <c r="O17" s="178"/>
      <c r="P17" s="386" t="s">
        <v>842</v>
      </c>
      <c r="Q17" s="317">
        <f t="shared" si="1"/>
        <v>5</v>
      </c>
      <c r="R17" s="360">
        <f t="shared" si="1"/>
        <v>9792</v>
      </c>
      <c r="S17" s="307">
        <f t="shared" si="1"/>
        <v>102</v>
      </c>
      <c r="T17" s="360">
        <f t="shared" si="1"/>
        <v>16</v>
      </c>
      <c r="U17" s="360">
        <f t="shared" si="1"/>
        <v>6256</v>
      </c>
      <c r="V17" s="307">
        <f t="shared" si="1"/>
        <v>381</v>
      </c>
      <c r="W17" s="317">
        <f t="shared" si="1"/>
        <v>1359</v>
      </c>
      <c r="X17" s="360">
        <f t="shared" si="1"/>
        <v>59879</v>
      </c>
      <c r="Y17" s="307">
        <f t="shared" si="1"/>
        <v>1820</v>
      </c>
      <c r="AA17" s="360"/>
      <c r="AB17" s="12"/>
    </row>
    <row r="18" spans="2:28" ht="12.75" customHeight="1">
      <c r="B18" s="267" t="s">
        <v>1393</v>
      </c>
      <c r="C18" s="454">
        <v>128</v>
      </c>
      <c r="D18" s="454">
        <v>9625</v>
      </c>
      <c r="E18" s="447">
        <v>522</v>
      </c>
      <c r="F18" s="446">
        <v>8</v>
      </c>
      <c r="G18" s="454">
        <v>463</v>
      </c>
      <c r="H18" s="447">
        <v>22</v>
      </c>
      <c r="I18" s="1598">
        <v>13</v>
      </c>
      <c r="J18" s="1599">
        <v>9654</v>
      </c>
      <c r="K18" s="1591">
        <v>202</v>
      </c>
      <c r="L18" s="1598">
        <v>17</v>
      </c>
      <c r="M18" s="1599">
        <v>16670</v>
      </c>
      <c r="N18" s="1591">
        <v>301</v>
      </c>
      <c r="O18" s="96"/>
      <c r="P18" s="267" t="s">
        <v>1393</v>
      </c>
      <c r="Q18" s="1598">
        <v>2</v>
      </c>
      <c r="R18" s="1599">
        <v>4923</v>
      </c>
      <c r="S18" s="1591">
        <v>47</v>
      </c>
      <c r="T18" s="1598" t="s">
        <v>1384</v>
      </c>
      <c r="U18" s="1599" t="s">
        <v>1384</v>
      </c>
      <c r="V18" s="1599" t="s">
        <v>1384</v>
      </c>
      <c r="W18" s="1598">
        <v>304</v>
      </c>
      <c r="X18" s="1599">
        <v>11196</v>
      </c>
      <c r="Y18" s="1591">
        <v>339</v>
      </c>
      <c r="AA18" s="1747"/>
      <c r="AB18" s="12"/>
    </row>
    <row r="19" spans="2:28" ht="12.75" customHeight="1">
      <c r="B19" s="267" t="s">
        <v>1395</v>
      </c>
      <c r="C19" s="454">
        <v>121</v>
      </c>
      <c r="D19" s="454">
        <v>9373</v>
      </c>
      <c r="E19" s="447">
        <v>434</v>
      </c>
      <c r="F19" s="446">
        <v>10</v>
      </c>
      <c r="G19" s="454">
        <v>991</v>
      </c>
      <c r="H19" s="447">
        <v>21</v>
      </c>
      <c r="I19" s="1598">
        <v>10</v>
      </c>
      <c r="J19" s="1599">
        <v>8759</v>
      </c>
      <c r="K19" s="1591">
        <v>151</v>
      </c>
      <c r="L19" s="1598">
        <v>14</v>
      </c>
      <c r="M19" s="1599">
        <v>16093</v>
      </c>
      <c r="N19" s="1591">
        <v>254</v>
      </c>
      <c r="O19" s="96"/>
      <c r="P19" s="267" t="s">
        <v>1395</v>
      </c>
      <c r="Q19" s="1598">
        <v>1</v>
      </c>
      <c r="R19" s="1599">
        <v>1504</v>
      </c>
      <c r="S19" s="1591">
        <v>20</v>
      </c>
      <c r="T19" s="1598" t="s">
        <v>1384</v>
      </c>
      <c r="U19" s="1599" t="s">
        <v>1384</v>
      </c>
      <c r="V19" s="1599" t="s">
        <v>1384</v>
      </c>
      <c r="W19" s="1598">
        <v>329</v>
      </c>
      <c r="X19" s="1599">
        <v>18647</v>
      </c>
      <c r="Y19" s="1591">
        <v>520</v>
      </c>
      <c r="AA19" s="1747"/>
      <c r="AB19" s="12"/>
    </row>
    <row r="20" spans="2:28" ht="12.75" customHeight="1">
      <c r="B20" s="267" t="s">
        <v>1396</v>
      </c>
      <c r="C20" s="454">
        <v>92</v>
      </c>
      <c r="D20" s="454">
        <v>7267</v>
      </c>
      <c r="E20" s="447">
        <v>357</v>
      </c>
      <c r="F20" s="446">
        <v>7</v>
      </c>
      <c r="G20" s="454">
        <v>2163</v>
      </c>
      <c r="H20" s="447">
        <v>60</v>
      </c>
      <c r="I20" s="1598">
        <v>10</v>
      </c>
      <c r="J20" s="1599">
        <v>5197</v>
      </c>
      <c r="K20" s="1591">
        <v>136</v>
      </c>
      <c r="L20" s="1598">
        <v>13</v>
      </c>
      <c r="M20" s="1599">
        <v>11631</v>
      </c>
      <c r="N20" s="1591">
        <v>233</v>
      </c>
      <c r="O20" s="96"/>
      <c r="P20" s="267" t="s">
        <v>1396</v>
      </c>
      <c r="Q20" s="1598" t="s">
        <v>1384</v>
      </c>
      <c r="R20" s="1599" t="s">
        <v>1384</v>
      </c>
      <c r="S20" s="1591" t="s">
        <v>1384</v>
      </c>
      <c r="T20" s="1218">
        <v>2</v>
      </c>
      <c r="U20" s="1219">
        <v>200</v>
      </c>
      <c r="V20" s="1219">
        <v>19</v>
      </c>
      <c r="W20" s="1598">
        <v>203</v>
      </c>
      <c r="X20" s="1599">
        <v>10998</v>
      </c>
      <c r="Y20" s="1591">
        <v>268</v>
      </c>
      <c r="AA20" s="1747"/>
      <c r="AB20" s="12"/>
    </row>
    <row r="21" spans="2:28" ht="12.75" customHeight="1">
      <c r="B21" s="267" t="s">
        <v>1397</v>
      </c>
      <c r="C21" s="454">
        <v>80</v>
      </c>
      <c r="D21" s="454">
        <v>4241</v>
      </c>
      <c r="E21" s="447">
        <v>378</v>
      </c>
      <c r="F21" s="446">
        <v>5</v>
      </c>
      <c r="G21" s="454">
        <v>430</v>
      </c>
      <c r="H21" s="447">
        <v>13</v>
      </c>
      <c r="I21" s="1598">
        <v>8</v>
      </c>
      <c r="J21" s="1599">
        <v>5406</v>
      </c>
      <c r="K21" s="1591">
        <v>132</v>
      </c>
      <c r="L21" s="1598">
        <v>13</v>
      </c>
      <c r="M21" s="1599">
        <v>15297</v>
      </c>
      <c r="N21" s="1591">
        <v>359</v>
      </c>
      <c r="O21" s="96"/>
      <c r="P21" s="267" t="s">
        <v>1397</v>
      </c>
      <c r="Q21" s="1598">
        <v>1</v>
      </c>
      <c r="R21" s="1599">
        <v>2198</v>
      </c>
      <c r="S21" s="1591">
        <v>20</v>
      </c>
      <c r="T21" s="1598">
        <v>4</v>
      </c>
      <c r="U21" s="1599">
        <v>322</v>
      </c>
      <c r="V21" s="1599">
        <v>41</v>
      </c>
      <c r="W21" s="1598">
        <v>221</v>
      </c>
      <c r="X21" s="1599">
        <v>6935</v>
      </c>
      <c r="Y21" s="1591">
        <v>311</v>
      </c>
      <c r="AA21" s="1747"/>
      <c r="AB21" s="12"/>
    </row>
    <row r="22" spans="2:28" ht="12.75" customHeight="1">
      <c r="B22" s="387" t="s">
        <v>1399</v>
      </c>
      <c r="C22" s="454">
        <v>58</v>
      </c>
      <c r="D22" s="454">
        <v>4053</v>
      </c>
      <c r="E22" s="447">
        <v>121</v>
      </c>
      <c r="F22" s="446">
        <v>10</v>
      </c>
      <c r="G22" s="454">
        <v>1035</v>
      </c>
      <c r="H22" s="447">
        <v>23</v>
      </c>
      <c r="I22" s="1598">
        <v>9</v>
      </c>
      <c r="J22" s="1599">
        <v>4347</v>
      </c>
      <c r="K22" s="1591">
        <v>141</v>
      </c>
      <c r="L22" s="1598">
        <v>5</v>
      </c>
      <c r="M22" s="1599">
        <v>5518</v>
      </c>
      <c r="N22" s="1591">
        <v>186</v>
      </c>
      <c r="O22" s="96"/>
      <c r="P22" s="387" t="s">
        <v>1399</v>
      </c>
      <c r="Q22" s="1598" t="s">
        <v>1384</v>
      </c>
      <c r="R22" s="1599" t="s">
        <v>1384</v>
      </c>
      <c r="S22" s="1599" t="s">
        <v>1384</v>
      </c>
      <c r="T22" s="1598" t="s">
        <v>1384</v>
      </c>
      <c r="U22" s="1599" t="s">
        <v>1384</v>
      </c>
      <c r="V22" s="1599" t="s">
        <v>1384</v>
      </c>
      <c r="W22" s="1598">
        <v>177</v>
      </c>
      <c r="X22" s="1599">
        <v>6980</v>
      </c>
      <c r="Y22" s="1591">
        <v>241</v>
      </c>
      <c r="AA22" s="1747"/>
      <c r="AB22" s="12"/>
    </row>
    <row r="23" spans="2:28" ht="12.75" customHeight="1">
      <c r="B23" s="267" t="s">
        <v>1400</v>
      </c>
      <c r="C23" s="454">
        <v>78</v>
      </c>
      <c r="D23" s="454">
        <v>8614</v>
      </c>
      <c r="E23" s="447">
        <v>479</v>
      </c>
      <c r="F23" s="446" t="s">
        <v>1384</v>
      </c>
      <c r="G23" s="454" t="s">
        <v>1384</v>
      </c>
      <c r="H23" s="447" t="s">
        <v>1384</v>
      </c>
      <c r="I23" s="1598">
        <v>4</v>
      </c>
      <c r="J23" s="1599">
        <v>3404</v>
      </c>
      <c r="K23" s="1591">
        <v>81</v>
      </c>
      <c r="L23" s="1598">
        <v>15</v>
      </c>
      <c r="M23" s="1599">
        <v>18450</v>
      </c>
      <c r="N23" s="1591">
        <v>321</v>
      </c>
      <c r="O23" s="96"/>
      <c r="P23" s="267" t="s">
        <v>1400</v>
      </c>
      <c r="Q23" s="1598">
        <v>1</v>
      </c>
      <c r="R23" s="1599">
        <v>1167</v>
      </c>
      <c r="S23" s="1591">
        <v>15</v>
      </c>
      <c r="T23" s="1598">
        <v>10</v>
      </c>
      <c r="U23" s="1599">
        <v>5734</v>
      </c>
      <c r="V23" s="1599">
        <v>321</v>
      </c>
      <c r="W23" s="1598">
        <v>125</v>
      </c>
      <c r="X23" s="1599">
        <v>5123</v>
      </c>
      <c r="Y23" s="1591">
        <v>141</v>
      </c>
      <c r="AA23" s="1747"/>
      <c r="AB23" s="12"/>
    </row>
    <row r="24" spans="2:28" ht="12.75" customHeight="1">
      <c r="B24" s="386" t="s">
        <v>844</v>
      </c>
      <c r="C24" s="360">
        <f t="shared" ref="C24:Y24" si="2">SUM(C25:C30)</f>
        <v>629</v>
      </c>
      <c r="D24" s="360">
        <f t="shared" si="2"/>
        <v>41418</v>
      </c>
      <c r="E24" s="307">
        <f>SUM(E25:E30)</f>
        <v>2156</v>
      </c>
      <c r="F24" s="317">
        <f t="shared" si="2"/>
        <v>76</v>
      </c>
      <c r="G24" s="360">
        <f t="shared" si="2"/>
        <v>11537</v>
      </c>
      <c r="H24" s="307">
        <f t="shared" si="2"/>
        <v>240</v>
      </c>
      <c r="I24" s="317">
        <f t="shared" si="2"/>
        <v>49</v>
      </c>
      <c r="J24" s="360">
        <f t="shared" si="2"/>
        <v>32167</v>
      </c>
      <c r="K24" s="307">
        <f t="shared" si="2"/>
        <v>630</v>
      </c>
      <c r="L24" s="360">
        <f t="shared" si="2"/>
        <v>74</v>
      </c>
      <c r="M24" s="360">
        <f t="shared" si="2"/>
        <v>90730</v>
      </c>
      <c r="N24" s="307">
        <f t="shared" si="2"/>
        <v>1342</v>
      </c>
      <c r="O24" s="178"/>
      <c r="P24" s="386" t="s">
        <v>844</v>
      </c>
      <c r="Q24" s="317">
        <f t="shared" si="2"/>
        <v>3</v>
      </c>
      <c r="R24" s="360">
        <f t="shared" si="2"/>
        <v>9498</v>
      </c>
      <c r="S24" s="307">
        <f t="shared" si="2"/>
        <v>60</v>
      </c>
      <c r="T24" s="317">
        <f t="shared" si="2"/>
        <v>2</v>
      </c>
      <c r="U24" s="360">
        <f t="shared" si="2"/>
        <v>154</v>
      </c>
      <c r="V24" s="307">
        <f t="shared" si="2"/>
        <v>14</v>
      </c>
      <c r="W24" s="360">
        <f t="shared" si="2"/>
        <v>1595</v>
      </c>
      <c r="X24" s="360">
        <f t="shared" si="2"/>
        <v>62200</v>
      </c>
      <c r="Y24" s="307">
        <f t="shared" si="2"/>
        <v>2114</v>
      </c>
      <c r="AA24" s="360"/>
      <c r="AB24" s="12"/>
    </row>
    <row r="25" spans="2:28" ht="12.75" customHeight="1">
      <c r="B25" s="267" t="s">
        <v>1269</v>
      </c>
      <c r="C25" s="147">
        <v>124</v>
      </c>
      <c r="D25" s="147">
        <v>7368</v>
      </c>
      <c r="E25" s="1591">
        <v>377</v>
      </c>
      <c r="F25" s="1598">
        <v>9</v>
      </c>
      <c r="G25" s="1599">
        <v>2317</v>
      </c>
      <c r="H25" s="1591">
        <v>46</v>
      </c>
      <c r="I25" s="1598">
        <v>11</v>
      </c>
      <c r="J25" s="1599">
        <v>6043</v>
      </c>
      <c r="K25" s="1591">
        <v>122</v>
      </c>
      <c r="L25" s="1598">
        <v>11</v>
      </c>
      <c r="M25" s="1599">
        <v>13531</v>
      </c>
      <c r="N25" s="1591">
        <v>216</v>
      </c>
      <c r="O25" s="96"/>
      <c r="P25" s="267" t="s">
        <v>1269</v>
      </c>
      <c r="Q25" s="1598">
        <v>1</v>
      </c>
      <c r="R25" s="1599">
        <v>2279</v>
      </c>
      <c r="S25" s="1591">
        <v>24</v>
      </c>
      <c r="T25" s="1598">
        <v>1</v>
      </c>
      <c r="U25" s="1599">
        <v>100</v>
      </c>
      <c r="V25" s="1599">
        <v>9</v>
      </c>
      <c r="W25" s="1598">
        <v>309</v>
      </c>
      <c r="X25" s="1599">
        <v>12107</v>
      </c>
      <c r="Y25" s="1591">
        <v>461</v>
      </c>
      <c r="AA25" s="1747"/>
      <c r="AB25" s="12"/>
    </row>
    <row r="26" spans="2:28" ht="12.75" customHeight="1">
      <c r="B26" s="267" t="s">
        <v>1270</v>
      </c>
      <c r="C26" s="147">
        <v>121</v>
      </c>
      <c r="D26" s="147">
        <v>7624</v>
      </c>
      <c r="E26" s="1591">
        <v>397</v>
      </c>
      <c r="F26" s="1598">
        <v>18</v>
      </c>
      <c r="G26" s="1599">
        <v>4073</v>
      </c>
      <c r="H26" s="1591">
        <v>58</v>
      </c>
      <c r="I26" s="1598">
        <v>11</v>
      </c>
      <c r="J26" s="1599">
        <v>6810</v>
      </c>
      <c r="K26" s="1591">
        <v>132</v>
      </c>
      <c r="L26" s="1598">
        <v>18</v>
      </c>
      <c r="M26" s="1599">
        <v>18218</v>
      </c>
      <c r="N26" s="1591">
        <v>329</v>
      </c>
      <c r="O26" s="96"/>
      <c r="P26" s="267" t="s">
        <v>1270</v>
      </c>
      <c r="Q26" s="1598" t="s">
        <v>1384</v>
      </c>
      <c r="R26" s="1599" t="s">
        <v>1384</v>
      </c>
      <c r="S26" s="1599" t="s">
        <v>1384</v>
      </c>
      <c r="T26" s="1598">
        <v>1</v>
      </c>
      <c r="U26" s="1599">
        <v>54</v>
      </c>
      <c r="V26" s="1599">
        <v>5</v>
      </c>
      <c r="W26" s="1598">
        <v>289</v>
      </c>
      <c r="X26" s="1599">
        <v>11291</v>
      </c>
      <c r="Y26" s="1591">
        <v>409</v>
      </c>
      <c r="AA26" s="1747"/>
      <c r="AB26" s="12"/>
    </row>
    <row r="27" spans="2:28" ht="12.75" customHeight="1">
      <c r="B27" s="267" t="s">
        <v>1412</v>
      </c>
      <c r="C27" s="147">
        <v>159</v>
      </c>
      <c r="D27" s="147">
        <v>12893</v>
      </c>
      <c r="E27" s="1591">
        <v>607</v>
      </c>
      <c r="F27" s="1598">
        <v>12</v>
      </c>
      <c r="G27" s="1599">
        <v>1784</v>
      </c>
      <c r="H27" s="1591">
        <v>45</v>
      </c>
      <c r="I27" s="1598">
        <v>9</v>
      </c>
      <c r="J27" s="1599">
        <v>7435</v>
      </c>
      <c r="K27" s="1591">
        <v>145</v>
      </c>
      <c r="L27" s="1598">
        <v>17</v>
      </c>
      <c r="M27" s="1599">
        <v>18798</v>
      </c>
      <c r="N27" s="1591">
        <v>285</v>
      </c>
      <c r="O27" s="96"/>
      <c r="P27" s="267" t="s">
        <v>1412</v>
      </c>
      <c r="Q27" s="1598">
        <v>1</v>
      </c>
      <c r="R27" s="1599">
        <v>3235</v>
      </c>
      <c r="S27" s="1591">
        <v>20</v>
      </c>
      <c r="T27" s="1598" t="s">
        <v>1384</v>
      </c>
      <c r="U27" s="1599" t="s">
        <v>1384</v>
      </c>
      <c r="V27" s="1599" t="s">
        <v>1384</v>
      </c>
      <c r="W27" s="1598">
        <v>328</v>
      </c>
      <c r="X27" s="1599">
        <v>14285</v>
      </c>
      <c r="Y27" s="1591">
        <v>396</v>
      </c>
      <c r="AA27" s="1747"/>
      <c r="AB27" s="12"/>
    </row>
    <row r="28" spans="2:28" ht="12.75" customHeight="1">
      <c r="B28" s="267" t="s">
        <v>1413</v>
      </c>
      <c r="C28" s="147">
        <v>105</v>
      </c>
      <c r="D28" s="147">
        <v>6951</v>
      </c>
      <c r="E28" s="1591">
        <v>357</v>
      </c>
      <c r="F28" s="1598">
        <v>25</v>
      </c>
      <c r="G28" s="1599">
        <v>2704</v>
      </c>
      <c r="H28" s="1591">
        <v>59</v>
      </c>
      <c r="I28" s="1598">
        <v>10</v>
      </c>
      <c r="J28" s="1599">
        <v>7620</v>
      </c>
      <c r="K28" s="1591">
        <v>126</v>
      </c>
      <c r="L28" s="1598">
        <v>11</v>
      </c>
      <c r="M28" s="1599">
        <v>15037</v>
      </c>
      <c r="N28" s="1591">
        <v>198</v>
      </c>
      <c r="O28" s="96"/>
      <c r="P28" s="267" t="s">
        <v>1413</v>
      </c>
      <c r="Q28" s="1598" t="s">
        <v>1384</v>
      </c>
      <c r="R28" s="1599" t="s">
        <v>1384</v>
      </c>
      <c r="S28" s="1599" t="s">
        <v>1384</v>
      </c>
      <c r="T28" s="1598" t="s">
        <v>1384</v>
      </c>
      <c r="U28" s="1599" t="s">
        <v>1384</v>
      </c>
      <c r="V28" s="1599" t="s">
        <v>1384</v>
      </c>
      <c r="W28" s="1598">
        <v>310</v>
      </c>
      <c r="X28" s="1599">
        <v>11801</v>
      </c>
      <c r="Y28" s="1591">
        <v>381</v>
      </c>
      <c r="AA28" s="1747"/>
      <c r="AB28" s="12"/>
    </row>
    <row r="29" spans="2:28" ht="12.75" customHeight="1">
      <c r="B29" s="267" t="s">
        <v>1414</v>
      </c>
      <c r="C29" s="147">
        <v>110</v>
      </c>
      <c r="D29" s="147">
        <v>5565</v>
      </c>
      <c r="E29" s="1591">
        <v>362</v>
      </c>
      <c r="F29" s="1598">
        <v>12</v>
      </c>
      <c r="G29" s="1599">
        <v>659</v>
      </c>
      <c r="H29" s="1591">
        <v>32</v>
      </c>
      <c r="I29" s="1598">
        <v>8</v>
      </c>
      <c r="J29" s="1599">
        <v>4259</v>
      </c>
      <c r="K29" s="1591">
        <v>105</v>
      </c>
      <c r="L29" s="1598">
        <v>15</v>
      </c>
      <c r="M29" s="1599">
        <v>21080</v>
      </c>
      <c r="N29" s="1591">
        <v>243</v>
      </c>
      <c r="O29" s="96"/>
      <c r="P29" s="267" t="s">
        <v>1414</v>
      </c>
      <c r="Q29" s="1598" t="s">
        <v>1384</v>
      </c>
      <c r="R29" s="1599" t="s">
        <v>1384</v>
      </c>
      <c r="S29" s="1599" t="s">
        <v>1384</v>
      </c>
      <c r="T29" s="1598" t="s">
        <v>1384</v>
      </c>
      <c r="U29" s="1599" t="s">
        <v>1384</v>
      </c>
      <c r="V29" s="1599" t="s">
        <v>1384</v>
      </c>
      <c r="W29" s="1598">
        <v>328</v>
      </c>
      <c r="X29" s="1599">
        <v>11455</v>
      </c>
      <c r="Y29" s="1591">
        <v>420</v>
      </c>
      <c r="AA29" s="1747"/>
      <c r="AB29" s="12"/>
    </row>
    <row r="30" spans="2:28" ht="12.75" customHeight="1">
      <c r="B30" s="267" t="s">
        <v>156</v>
      </c>
      <c r="C30" s="147">
        <v>10</v>
      </c>
      <c r="D30" s="147">
        <v>1017</v>
      </c>
      <c r="E30" s="13">
        <v>56</v>
      </c>
      <c r="F30" s="1598" t="s">
        <v>1384</v>
      </c>
      <c r="G30" s="1599" t="s">
        <v>1384</v>
      </c>
      <c r="H30" s="1591" t="s">
        <v>1384</v>
      </c>
      <c r="I30" s="1598" t="s">
        <v>1384</v>
      </c>
      <c r="J30" s="1599" t="s">
        <v>1384</v>
      </c>
      <c r="K30" s="1591" t="s">
        <v>1384</v>
      </c>
      <c r="L30" s="1598">
        <v>2</v>
      </c>
      <c r="M30" s="1599">
        <v>4066</v>
      </c>
      <c r="N30" s="1591">
        <v>71</v>
      </c>
      <c r="O30" s="96"/>
      <c r="P30" s="267" t="s">
        <v>156</v>
      </c>
      <c r="Q30" s="1598">
        <v>1</v>
      </c>
      <c r="R30" s="1599">
        <v>3984</v>
      </c>
      <c r="S30" s="1591">
        <v>16</v>
      </c>
      <c r="T30" s="1598" t="s">
        <v>1384</v>
      </c>
      <c r="U30" s="1599" t="s">
        <v>1384</v>
      </c>
      <c r="V30" s="1599" t="s">
        <v>1384</v>
      </c>
      <c r="W30" s="1598">
        <v>31</v>
      </c>
      <c r="X30" s="1599">
        <v>1261</v>
      </c>
      <c r="Y30" s="1591">
        <v>47</v>
      </c>
      <c r="AA30" s="1747"/>
      <c r="AB30" s="12"/>
    </row>
    <row r="31" spans="2:28" ht="12.75" customHeight="1">
      <c r="B31" s="386" t="s">
        <v>1275</v>
      </c>
      <c r="C31" s="360">
        <f t="shared" ref="C31:Y31" si="3">SUM(C32:C40)</f>
        <v>983</v>
      </c>
      <c r="D31" s="360">
        <f t="shared" si="3"/>
        <v>50945</v>
      </c>
      <c r="E31" s="307">
        <f t="shared" si="3"/>
        <v>3268</v>
      </c>
      <c r="F31" s="317">
        <f t="shared" si="3"/>
        <v>99</v>
      </c>
      <c r="G31" s="360">
        <f t="shared" si="3"/>
        <v>10557</v>
      </c>
      <c r="H31" s="307">
        <f t="shared" si="3"/>
        <v>319</v>
      </c>
      <c r="I31" s="317">
        <f>SUM(I32:I40)</f>
        <v>81</v>
      </c>
      <c r="J31" s="360">
        <f t="shared" si="3"/>
        <v>46690</v>
      </c>
      <c r="K31" s="360">
        <f t="shared" si="3"/>
        <v>1150</v>
      </c>
      <c r="L31" s="317">
        <f t="shared" si="3"/>
        <v>102</v>
      </c>
      <c r="M31" s="360">
        <f t="shared" si="3"/>
        <v>120108</v>
      </c>
      <c r="N31" s="307">
        <f t="shared" si="3"/>
        <v>1989</v>
      </c>
      <c r="O31" s="178"/>
      <c r="P31" s="386" t="s">
        <v>1275</v>
      </c>
      <c r="Q31" s="317">
        <f t="shared" si="3"/>
        <v>5</v>
      </c>
      <c r="R31" s="360">
        <f t="shared" si="3"/>
        <v>12223</v>
      </c>
      <c r="S31" s="307">
        <f t="shared" si="3"/>
        <v>77</v>
      </c>
      <c r="T31" s="317">
        <f t="shared" si="3"/>
        <v>10</v>
      </c>
      <c r="U31" s="360">
        <f t="shared" si="3"/>
        <v>1602</v>
      </c>
      <c r="V31" s="360">
        <f t="shared" si="3"/>
        <v>116</v>
      </c>
      <c r="W31" s="317">
        <f t="shared" si="3"/>
        <v>2316</v>
      </c>
      <c r="X31" s="360">
        <f t="shared" si="3"/>
        <v>90552</v>
      </c>
      <c r="Y31" s="307">
        <f t="shared" si="3"/>
        <v>3338</v>
      </c>
      <c r="AA31" s="360"/>
      <c r="AB31" s="12"/>
    </row>
    <row r="32" spans="2:28" ht="12.75" customHeight="1">
      <c r="B32" s="267" t="s">
        <v>1419</v>
      </c>
      <c r="C32" s="147">
        <v>107</v>
      </c>
      <c r="D32" s="147">
        <v>5182</v>
      </c>
      <c r="E32" s="1591">
        <v>322</v>
      </c>
      <c r="F32" s="1598">
        <v>3</v>
      </c>
      <c r="G32" s="1599">
        <v>1464</v>
      </c>
      <c r="H32" s="1591">
        <v>19</v>
      </c>
      <c r="I32" s="1598">
        <v>16</v>
      </c>
      <c r="J32" s="1599">
        <v>9378</v>
      </c>
      <c r="K32" s="1407">
        <v>199</v>
      </c>
      <c r="L32" s="1598">
        <v>8</v>
      </c>
      <c r="M32" s="1599">
        <v>6932</v>
      </c>
      <c r="N32" s="1591">
        <v>100</v>
      </c>
      <c r="O32" s="96"/>
      <c r="P32" s="267" t="s">
        <v>1419</v>
      </c>
      <c r="Q32" s="1598">
        <v>1</v>
      </c>
      <c r="R32" s="1599">
        <v>1594</v>
      </c>
      <c r="S32" s="1599">
        <v>8</v>
      </c>
      <c r="T32" s="1598">
        <v>2</v>
      </c>
      <c r="U32" s="1599">
        <v>200</v>
      </c>
      <c r="V32" s="1599">
        <v>18</v>
      </c>
      <c r="W32" s="1598">
        <v>249</v>
      </c>
      <c r="X32" s="1599">
        <v>10053</v>
      </c>
      <c r="Y32" s="1591">
        <v>455</v>
      </c>
      <c r="AA32" s="1747"/>
      <c r="AB32" s="12"/>
    </row>
    <row r="33" spans="2:28" ht="12.75" customHeight="1">
      <c r="B33" s="267" t="s">
        <v>1420</v>
      </c>
      <c r="C33" s="147">
        <v>91</v>
      </c>
      <c r="D33" s="147">
        <v>2619</v>
      </c>
      <c r="E33" s="1591">
        <v>279</v>
      </c>
      <c r="F33" s="1598">
        <v>4</v>
      </c>
      <c r="G33" s="1599">
        <v>959</v>
      </c>
      <c r="H33" s="447">
        <v>18</v>
      </c>
      <c r="I33" s="1598">
        <v>9</v>
      </c>
      <c r="J33" s="1599">
        <v>7370</v>
      </c>
      <c r="K33" s="1591">
        <v>121</v>
      </c>
      <c r="L33" s="1598">
        <v>5</v>
      </c>
      <c r="M33" s="1599">
        <v>8338</v>
      </c>
      <c r="N33" s="1591">
        <v>98</v>
      </c>
      <c r="O33" s="96"/>
      <c r="P33" s="267" t="s">
        <v>1420</v>
      </c>
      <c r="Q33" s="1598" t="s">
        <v>1384</v>
      </c>
      <c r="R33" s="1599" t="s">
        <v>1384</v>
      </c>
      <c r="S33" s="1591" t="s">
        <v>1384</v>
      </c>
      <c r="T33" s="1598" t="s">
        <v>1384</v>
      </c>
      <c r="U33" s="1599" t="s">
        <v>1384</v>
      </c>
      <c r="V33" s="1599" t="s">
        <v>1384</v>
      </c>
      <c r="W33" s="1598">
        <v>273</v>
      </c>
      <c r="X33" s="1599">
        <v>12855</v>
      </c>
      <c r="Y33" s="1591">
        <v>432</v>
      </c>
      <c r="AA33" s="1747"/>
      <c r="AB33" s="12"/>
    </row>
    <row r="34" spans="2:28" ht="12.75" customHeight="1">
      <c r="B34" s="267" t="s">
        <v>1422</v>
      </c>
      <c r="C34" s="147">
        <v>153</v>
      </c>
      <c r="D34" s="147">
        <v>8699</v>
      </c>
      <c r="E34" s="1591">
        <v>519</v>
      </c>
      <c r="F34" s="1598">
        <v>9</v>
      </c>
      <c r="G34" s="1599">
        <v>2202</v>
      </c>
      <c r="H34" s="1591">
        <v>46</v>
      </c>
      <c r="I34" s="1598">
        <v>12</v>
      </c>
      <c r="J34" s="1599">
        <v>6541</v>
      </c>
      <c r="K34" s="1591">
        <v>165</v>
      </c>
      <c r="L34" s="1598">
        <v>20</v>
      </c>
      <c r="M34" s="1599">
        <v>17434</v>
      </c>
      <c r="N34" s="1591">
        <v>345</v>
      </c>
      <c r="O34" s="96"/>
      <c r="P34" s="267" t="s">
        <v>1422</v>
      </c>
      <c r="Q34" s="1598">
        <v>1</v>
      </c>
      <c r="R34" s="1599">
        <v>1922</v>
      </c>
      <c r="S34" s="1591">
        <v>15</v>
      </c>
      <c r="T34" s="1218">
        <v>3</v>
      </c>
      <c r="U34" s="1219">
        <v>200</v>
      </c>
      <c r="V34" s="1219">
        <v>18</v>
      </c>
      <c r="W34" s="1598">
        <v>301</v>
      </c>
      <c r="X34" s="1599">
        <v>9979</v>
      </c>
      <c r="Y34" s="1591">
        <v>387</v>
      </c>
      <c r="AA34" s="1747"/>
      <c r="AB34" s="12"/>
    </row>
    <row r="35" spans="2:28" ht="12.75" customHeight="1">
      <c r="B35" s="267" t="s">
        <v>1423</v>
      </c>
      <c r="C35" s="147">
        <v>127</v>
      </c>
      <c r="D35" s="147">
        <v>6660</v>
      </c>
      <c r="E35" s="1591">
        <v>388</v>
      </c>
      <c r="F35" s="1598">
        <v>15</v>
      </c>
      <c r="G35" s="1599">
        <v>874</v>
      </c>
      <c r="H35" s="1591">
        <v>48</v>
      </c>
      <c r="I35" s="1598">
        <v>4</v>
      </c>
      <c r="J35" s="1599">
        <v>2758</v>
      </c>
      <c r="K35" s="1591">
        <v>69</v>
      </c>
      <c r="L35" s="1598">
        <v>14</v>
      </c>
      <c r="M35" s="1599">
        <v>17008</v>
      </c>
      <c r="N35" s="1591">
        <v>310</v>
      </c>
      <c r="O35" s="96"/>
      <c r="P35" s="267" t="s">
        <v>1423</v>
      </c>
      <c r="Q35" s="1599" t="s">
        <v>1384</v>
      </c>
      <c r="R35" s="1599" t="s">
        <v>1384</v>
      </c>
      <c r="S35" s="1591" t="s">
        <v>1384</v>
      </c>
      <c r="T35" s="1598" t="s">
        <v>1384</v>
      </c>
      <c r="U35" s="1599" t="s">
        <v>1384</v>
      </c>
      <c r="V35" s="1599" t="s">
        <v>1384</v>
      </c>
      <c r="W35" s="1598">
        <v>282</v>
      </c>
      <c r="X35" s="1599">
        <v>10769</v>
      </c>
      <c r="Y35" s="1591">
        <v>383</v>
      </c>
      <c r="AA35" s="1747"/>
      <c r="AB35" s="12"/>
    </row>
    <row r="36" spans="2:28" ht="12.75" customHeight="1">
      <c r="B36" s="267" t="s">
        <v>1425</v>
      </c>
      <c r="C36" s="147">
        <v>100</v>
      </c>
      <c r="D36" s="147">
        <v>5266</v>
      </c>
      <c r="E36" s="1591">
        <v>287</v>
      </c>
      <c r="F36" s="1598">
        <v>17</v>
      </c>
      <c r="G36" s="1599">
        <v>1309</v>
      </c>
      <c r="H36" s="1591">
        <v>52</v>
      </c>
      <c r="I36" s="1598">
        <v>11</v>
      </c>
      <c r="J36" s="1599">
        <v>5151</v>
      </c>
      <c r="K36" s="1591">
        <v>135</v>
      </c>
      <c r="L36" s="1598">
        <v>10</v>
      </c>
      <c r="M36" s="1599">
        <v>12272</v>
      </c>
      <c r="N36" s="1591">
        <v>181</v>
      </c>
      <c r="O36" s="96"/>
      <c r="P36" s="267" t="s">
        <v>1425</v>
      </c>
      <c r="Q36" s="1598">
        <v>1</v>
      </c>
      <c r="R36" s="1599">
        <v>2544</v>
      </c>
      <c r="S36" s="1591">
        <v>18</v>
      </c>
      <c r="T36" s="1598" t="s">
        <v>1384</v>
      </c>
      <c r="U36" s="1599" t="s">
        <v>1384</v>
      </c>
      <c r="V36" s="1599" t="s">
        <v>1384</v>
      </c>
      <c r="W36" s="1598">
        <v>258</v>
      </c>
      <c r="X36" s="1599">
        <v>8461</v>
      </c>
      <c r="Y36" s="1591">
        <v>403</v>
      </c>
      <c r="AA36" s="1747"/>
      <c r="AB36" s="12"/>
    </row>
    <row r="37" spans="2:28" ht="12.75" customHeight="1">
      <c r="B37" s="267" t="s">
        <v>1426</v>
      </c>
      <c r="C37" s="147">
        <v>135</v>
      </c>
      <c r="D37" s="147">
        <v>7246</v>
      </c>
      <c r="E37" s="1591">
        <v>470</v>
      </c>
      <c r="F37" s="1598">
        <v>19</v>
      </c>
      <c r="G37" s="1599">
        <v>1216</v>
      </c>
      <c r="H37" s="1591">
        <v>48</v>
      </c>
      <c r="I37" s="1598">
        <v>11</v>
      </c>
      <c r="J37" s="1599">
        <v>3305</v>
      </c>
      <c r="K37" s="1591">
        <v>167</v>
      </c>
      <c r="L37" s="1598">
        <v>12</v>
      </c>
      <c r="M37" s="1599">
        <v>17924</v>
      </c>
      <c r="N37" s="1591">
        <v>305</v>
      </c>
      <c r="O37" s="96"/>
      <c r="P37" s="267" t="s">
        <v>1426</v>
      </c>
      <c r="Q37" s="1599" t="s">
        <v>1384</v>
      </c>
      <c r="R37" s="1599" t="s">
        <v>1384</v>
      </c>
      <c r="S37" s="1599" t="s">
        <v>1384</v>
      </c>
      <c r="T37" s="1598">
        <v>1</v>
      </c>
      <c r="U37" s="1599">
        <v>100</v>
      </c>
      <c r="V37" s="1599">
        <v>11</v>
      </c>
      <c r="W37" s="1598">
        <v>282</v>
      </c>
      <c r="X37" s="1599">
        <v>10046</v>
      </c>
      <c r="Y37" s="1591">
        <v>290</v>
      </c>
      <c r="AA37" s="1747"/>
      <c r="AB37" s="12"/>
    </row>
    <row r="38" spans="2:28" ht="12.75" customHeight="1">
      <c r="B38" s="604" t="s">
        <v>1570</v>
      </c>
      <c r="C38" s="147">
        <v>117</v>
      </c>
      <c r="D38" s="147">
        <v>7157</v>
      </c>
      <c r="E38" s="1591">
        <v>480</v>
      </c>
      <c r="F38" s="1598">
        <v>18</v>
      </c>
      <c r="G38" s="1599">
        <v>1705</v>
      </c>
      <c r="H38" s="1591">
        <v>52</v>
      </c>
      <c r="I38" s="1598">
        <v>7</v>
      </c>
      <c r="J38" s="1599">
        <v>4707</v>
      </c>
      <c r="K38" s="1591">
        <v>122</v>
      </c>
      <c r="L38" s="1598">
        <v>13</v>
      </c>
      <c r="M38" s="1599">
        <v>15124</v>
      </c>
      <c r="N38" s="1591">
        <v>228</v>
      </c>
      <c r="O38" s="96"/>
      <c r="P38" s="604" t="s">
        <v>1346</v>
      </c>
      <c r="Q38" s="1599" t="s">
        <v>1384</v>
      </c>
      <c r="R38" s="1599" t="s">
        <v>1384</v>
      </c>
      <c r="S38" s="1599" t="s">
        <v>1384</v>
      </c>
      <c r="T38" s="1598">
        <v>2</v>
      </c>
      <c r="U38" s="1599">
        <v>150</v>
      </c>
      <c r="V38" s="1599">
        <v>17</v>
      </c>
      <c r="W38" s="1598">
        <v>295</v>
      </c>
      <c r="X38" s="1599">
        <v>13487</v>
      </c>
      <c r="Y38" s="1591">
        <v>424</v>
      </c>
      <c r="AA38" s="1747"/>
      <c r="AB38" s="12"/>
    </row>
    <row r="39" spans="2:28" ht="12.75" customHeight="1">
      <c r="B39" s="267" t="s">
        <v>1429</v>
      </c>
      <c r="C39" s="147">
        <v>132</v>
      </c>
      <c r="D39" s="147">
        <v>5934</v>
      </c>
      <c r="E39" s="1591">
        <v>400</v>
      </c>
      <c r="F39" s="1598">
        <v>14</v>
      </c>
      <c r="G39" s="1599">
        <v>828</v>
      </c>
      <c r="H39" s="1591">
        <v>36</v>
      </c>
      <c r="I39" s="1406">
        <v>8</v>
      </c>
      <c r="J39" s="1599">
        <v>6216</v>
      </c>
      <c r="K39" s="1591">
        <v>130</v>
      </c>
      <c r="L39" s="1598">
        <v>11</v>
      </c>
      <c r="M39" s="1599">
        <v>12443</v>
      </c>
      <c r="N39" s="1591">
        <v>234</v>
      </c>
      <c r="O39" s="96"/>
      <c r="P39" s="267" t="s">
        <v>1429</v>
      </c>
      <c r="Q39" s="1599">
        <v>1</v>
      </c>
      <c r="R39" s="1599">
        <v>538</v>
      </c>
      <c r="S39" s="1785" t="s">
        <v>1279</v>
      </c>
      <c r="T39" s="1598" t="s">
        <v>1384</v>
      </c>
      <c r="U39" s="1599" t="s">
        <v>1384</v>
      </c>
      <c r="V39" s="1599" t="s">
        <v>1384</v>
      </c>
      <c r="W39" s="1598">
        <v>290</v>
      </c>
      <c r="X39" s="1599">
        <v>12305</v>
      </c>
      <c r="Y39" s="1591">
        <v>416</v>
      </c>
      <c r="AA39" s="1747"/>
      <c r="AB39" s="12"/>
    </row>
    <row r="40" spans="2:28" ht="12.75" customHeight="1">
      <c r="B40" s="305" t="s">
        <v>1427</v>
      </c>
      <c r="C40" s="1605">
        <v>21</v>
      </c>
      <c r="D40" s="1605">
        <v>2182</v>
      </c>
      <c r="E40" s="1601">
        <v>123</v>
      </c>
      <c r="F40" s="1600" t="s">
        <v>1384</v>
      </c>
      <c r="G40" s="1605" t="s">
        <v>1384</v>
      </c>
      <c r="H40" s="1601" t="s">
        <v>1384</v>
      </c>
      <c r="I40" s="1600">
        <v>3</v>
      </c>
      <c r="J40" s="1605">
        <v>1264</v>
      </c>
      <c r="K40" s="1591">
        <v>42</v>
      </c>
      <c r="L40" s="1600">
        <v>9</v>
      </c>
      <c r="M40" s="1605">
        <v>12633</v>
      </c>
      <c r="N40" s="1591">
        <v>188</v>
      </c>
      <c r="O40" s="96"/>
      <c r="P40" s="305" t="s">
        <v>1427</v>
      </c>
      <c r="Q40" s="1600">
        <v>1</v>
      </c>
      <c r="R40" s="1605">
        <v>5625</v>
      </c>
      <c r="S40" s="1601">
        <v>36</v>
      </c>
      <c r="T40" s="1598">
        <v>2</v>
      </c>
      <c r="U40" s="1599">
        <v>952</v>
      </c>
      <c r="V40" s="1599">
        <v>52</v>
      </c>
      <c r="W40" s="1600">
        <v>86</v>
      </c>
      <c r="X40" s="1605">
        <v>2597</v>
      </c>
      <c r="Y40" s="1601">
        <v>148</v>
      </c>
      <c r="AA40" s="1747"/>
      <c r="AB40" s="12"/>
    </row>
    <row r="41" spans="2:28" ht="12.75" customHeight="1">
      <c r="B41" s="275" t="s">
        <v>979</v>
      </c>
      <c r="C41" s="138">
        <f>SUM(C7,C17,C24,C31)</f>
        <v>3253</v>
      </c>
      <c r="D41" s="138">
        <f t="shared" ref="D41:Y41" si="4">SUM(D7,D17,D24,D31)</f>
        <v>219794</v>
      </c>
      <c r="E41" s="139">
        <f t="shared" si="4"/>
        <v>11981</v>
      </c>
      <c r="F41" s="276">
        <f t="shared" si="4"/>
        <v>293</v>
      </c>
      <c r="G41" s="138">
        <f t="shared" si="4"/>
        <v>32965</v>
      </c>
      <c r="H41" s="139">
        <f t="shared" si="4"/>
        <v>938</v>
      </c>
      <c r="I41" s="276">
        <f>SUM(I7,I17,I24,I31)</f>
        <v>261</v>
      </c>
      <c r="J41" s="138">
        <f t="shared" si="4"/>
        <v>159032</v>
      </c>
      <c r="K41" s="139">
        <f t="shared" si="4"/>
        <v>3837</v>
      </c>
      <c r="L41" s="276">
        <f t="shared" si="4"/>
        <v>397</v>
      </c>
      <c r="M41" s="138">
        <f>SUM(M7,M17,M24,M31)</f>
        <v>466013</v>
      </c>
      <c r="N41" s="139">
        <f>SUM(N7,N17,N24,N31)</f>
        <v>7803</v>
      </c>
      <c r="O41" s="238"/>
      <c r="P41" s="275" t="s">
        <v>979</v>
      </c>
      <c r="Q41" s="276">
        <f>SUM(Q7,Q17,Q24,Q31)</f>
        <v>19</v>
      </c>
      <c r="R41" s="138">
        <f t="shared" si="4"/>
        <v>44241</v>
      </c>
      <c r="S41" s="139">
        <f t="shared" si="4"/>
        <v>351</v>
      </c>
      <c r="T41" s="138">
        <f t="shared" si="4"/>
        <v>45</v>
      </c>
      <c r="U41" s="138">
        <f t="shared" si="4"/>
        <v>10759</v>
      </c>
      <c r="V41" s="139">
        <f t="shared" si="4"/>
        <v>708</v>
      </c>
      <c r="W41" s="138">
        <f>SUM(W7,W17,W24,W31)</f>
        <v>7974</v>
      </c>
      <c r="X41" s="138">
        <f t="shared" si="4"/>
        <v>325042</v>
      </c>
      <c r="Y41" s="139">
        <f t="shared" si="4"/>
        <v>10827</v>
      </c>
      <c r="AA41" s="507"/>
    </row>
    <row r="42" spans="2:28">
      <c r="B42" s="68"/>
      <c r="C42" s="68"/>
      <c r="D42" s="68"/>
      <c r="E42" s="68"/>
      <c r="F42" s="68"/>
      <c r="G42" s="68"/>
      <c r="H42" s="68"/>
      <c r="I42" s="68"/>
      <c r="J42" s="68"/>
      <c r="K42" s="68"/>
      <c r="L42" s="68"/>
      <c r="M42" s="68"/>
      <c r="N42" s="1132" t="s">
        <v>444</v>
      </c>
      <c r="O42" s="68"/>
      <c r="P42" s="71" t="s">
        <v>1733</v>
      </c>
      <c r="Q42" s="68"/>
      <c r="R42" s="68"/>
      <c r="S42" s="68"/>
      <c r="T42" s="68"/>
      <c r="V42" s="302"/>
      <c r="W42" s="302"/>
      <c r="X42" s="302"/>
      <c r="Y42" s="1128" t="s">
        <v>893</v>
      </c>
    </row>
  </sheetData>
  <mergeCells count="12">
    <mergeCell ref="T4:V4"/>
    <mergeCell ref="P4:P5"/>
    <mergeCell ref="B1:N1"/>
    <mergeCell ref="B2:N2"/>
    <mergeCell ref="B4:B5"/>
    <mergeCell ref="P2:Y2"/>
    <mergeCell ref="W4:Y4"/>
    <mergeCell ref="C4:E4"/>
    <mergeCell ref="F4:H4"/>
    <mergeCell ref="I4:K4"/>
    <mergeCell ref="L4:N4"/>
    <mergeCell ref="Q4:S4"/>
  </mergeCells>
  <phoneticPr fontId="0" type="noConversion"/>
  <conditionalFormatting sqref="A1:XFD1048576">
    <cfRule type="cellIs" dxfId="7" priority="1" operator="equal">
      <formula>".."</formula>
    </cfRule>
  </conditionalFormatting>
  <pageMargins left="0.1" right="0.1" top="0.28999999999999998" bottom="0.1" header="0.72" footer="0.1"/>
  <pageSetup paperSize="9" orientation="landscape" blackAndWhite="1" r:id="rId1"/>
  <headerFooter alignWithMargins="0"/>
  <colBreaks count="1" manualBreakCount="1">
    <brk id="14" max="1048575" man="1"/>
  </colBreaks>
</worksheet>
</file>

<file path=xl/worksheets/sheet38.xml><?xml version="1.0" encoding="utf-8"?>
<worksheet xmlns="http://schemas.openxmlformats.org/spreadsheetml/2006/main" xmlns:r="http://schemas.openxmlformats.org/officeDocument/2006/relationships">
  <dimension ref="A1:O49"/>
  <sheetViews>
    <sheetView workbookViewId="0">
      <selection activeCell="C3" sqref="C3"/>
    </sheetView>
  </sheetViews>
  <sheetFormatPr defaultColWidth="10" defaultRowHeight="12.75" customHeight="1"/>
  <cols>
    <col min="1" max="1" width="19" customWidth="1"/>
    <col min="2" max="10" width="11.5703125" customWidth="1"/>
  </cols>
  <sheetData>
    <row r="1" spans="1:13" ht="12.75" customHeight="1">
      <c r="A1" s="1825" t="s">
        <v>766</v>
      </c>
      <c r="B1" s="1825"/>
      <c r="C1" s="1825"/>
      <c r="D1" s="1825"/>
      <c r="E1" s="1825"/>
      <c r="F1" s="1825"/>
      <c r="G1" s="1825"/>
      <c r="H1" s="1825"/>
      <c r="I1" s="1825"/>
      <c r="J1" s="1825"/>
    </row>
    <row r="2" spans="1:13" ht="21" customHeight="1">
      <c r="A2" s="1857" t="str">
        <f>CONCATENATE("Literacy Rate by sex in rural and urban areas in the district of ",District!A1,", 2011")</f>
        <v>Literacy Rate by sex in rural and urban areas in the district of Purba Medinipur, 2011</v>
      </c>
      <c r="B2" s="1857"/>
      <c r="C2" s="1857"/>
      <c r="D2" s="1857"/>
      <c r="E2" s="1857"/>
      <c r="F2" s="1857"/>
      <c r="G2" s="1857"/>
      <c r="H2" s="1857"/>
      <c r="I2" s="1857"/>
      <c r="J2" s="1857"/>
      <c r="K2" s="26"/>
      <c r="L2" s="26"/>
      <c r="M2" s="26"/>
    </row>
    <row r="3" spans="1:13" ht="14.25" customHeight="1">
      <c r="A3" s="1518"/>
      <c r="B3" s="1518"/>
      <c r="C3" s="1518"/>
      <c r="D3" s="1518"/>
      <c r="E3" s="1518"/>
      <c r="F3" s="1518"/>
      <c r="G3" s="1518"/>
      <c r="H3" s="1518"/>
      <c r="I3" s="1518"/>
      <c r="J3" s="1519" t="s">
        <v>1651</v>
      </c>
      <c r="K3" s="26"/>
      <c r="L3" s="26"/>
      <c r="M3" s="26"/>
    </row>
    <row r="4" spans="1:13" ht="12.75" customHeight="1">
      <c r="A4" s="1833" t="s">
        <v>162</v>
      </c>
      <c r="B4" s="1829" t="s">
        <v>1043</v>
      </c>
      <c r="C4" s="1827"/>
      <c r="D4" s="1828"/>
      <c r="E4" s="1829" t="s">
        <v>1042</v>
      </c>
      <c r="F4" s="1827"/>
      <c r="G4" s="1828"/>
      <c r="H4" s="2111" t="s">
        <v>1719</v>
      </c>
      <c r="I4" s="2112"/>
      <c r="J4" s="2113"/>
    </row>
    <row r="5" spans="1:13" ht="12.75" customHeight="1">
      <c r="A5" s="1834"/>
      <c r="B5" s="199" t="s">
        <v>1040</v>
      </c>
      <c r="C5" s="156" t="s">
        <v>1041</v>
      </c>
      <c r="D5" s="198" t="s">
        <v>979</v>
      </c>
      <c r="E5" s="199" t="s">
        <v>1040</v>
      </c>
      <c r="F5" s="156" t="s">
        <v>1041</v>
      </c>
      <c r="G5" s="198" t="s">
        <v>979</v>
      </c>
      <c r="H5" s="489" t="s">
        <v>1040</v>
      </c>
      <c r="I5" s="777" t="s">
        <v>1041</v>
      </c>
      <c r="J5" s="491" t="s">
        <v>979</v>
      </c>
    </row>
    <row r="6" spans="1:13" ht="12.75" customHeight="1">
      <c r="A6" s="1353" t="s">
        <v>955</v>
      </c>
      <c r="B6" s="1356" t="s">
        <v>956</v>
      </c>
      <c r="C6" s="1354" t="s">
        <v>957</v>
      </c>
      <c r="D6" s="1355" t="s">
        <v>958</v>
      </c>
      <c r="E6" s="1356" t="s">
        <v>959</v>
      </c>
      <c r="F6" s="1358" t="s">
        <v>961</v>
      </c>
      <c r="G6" s="1355" t="s">
        <v>962</v>
      </c>
      <c r="H6" s="492" t="s">
        <v>990</v>
      </c>
      <c r="I6" s="1359" t="s">
        <v>991</v>
      </c>
      <c r="J6" s="494" t="s">
        <v>992</v>
      </c>
    </row>
    <row r="7" spans="1:13" s="2" customFormat="1" ht="12.75" customHeight="1">
      <c r="A7" s="385" t="s">
        <v>1273</v>
      </c>
      <c r="B7" s="379">
        <v>91.54</v>
      </c>
      <c r="C7" s="377">
        <v>79.59</v>
      </c>
      <c r="D7" s="1360">
        <v>85.77</v>
      </c>
      <c r="E7" s="1370">
        <v>91.96</v>
      </c>
      <c r="F7" s="377">
        <v>82.79</v>
      </c>
      <c r="G7" s="1361">
        <v>87.49</v>
      </c>
      <c r="H7" s="1370">
        <v>91.59</v>
      </c>
      <c r="I7" s="1370">
        <v>79.98</v>
      </c>
      <c r="J7" s="380">
        <v>85.98</v>
      </c>
    </row>
    <row r="8" spans="1:13" ht="12.75" customHeight="1">
      <c r="A8" s="267" t="s">
        <v>200</v>
      </c>
      <c r="B8" s="1365">
        <v>92.39</v>
      </c>
      <c r="C8" s="1366">
        <v>81.02</v>
      </c>
      <c r="D8" s="706">
        <v>86.9</v>
      </c>
      <c r="E8" s="1365">
        <v>94.03</v>
      </c>
      <c r="F8" s="1366">
        <v>86.06</v>
      </c>
      <c r="G8" s="706">
        <v>90.2</v>
      </c>
      <c r="H8" s="1365">
        <v>92.47</v>
      </c>
      <c r="I8" s="1366">
        <v>81.260000000000005</v>
      </c>
      <c r="J8" s="706">
        <v>87.06</v>
      </c>
    </row>
    <row r="9" spans="1:13" ht="12.75" customHeight="1">
      <c r="A9" s="267" t="s">
        <v>1386</v>
      </c>
      <c r="B9" s="1365">
        <v>92.54</v>
      </c>
      <c r="C9" s="1366">
        <v>80.7</v>
      </c>
      <c r="D9" s="706">
        <v>86.85</v>
      </c>
      <c r="E9" s="1365">
        <v>93.83</v>
      </c>
      <c r="F9" s="1366">
        <v>83.22</v>
      </c>
      <c r="G9" s="706">
        <v>88.65</v>
      </c>
      <c r="H9" s="1365">
        <v>92.64</v>
      </c>
      <c r="I9" s="1366">
        <v>80.89</v>
      </c>
      <c r="J9" s="706">
        <v>86.98</v>
      </c>
    </row>
    <row r="10" spans="1:13" ht="12.75" customHeight="1">
      <c r="A10" s="267" t="s">
        <v>1388</v>
      </c>
      <c r="B10" s="1365">
        <v>90.54</v>
      </c>
      <c r="C10" s="1366">
        <v>76.37</v>
      </c>
      <c r="D10" s="706">
        <v>83.65</v>
      </c>
      <c r="E10" s="1365" t="s">
        <v>1384</v>
      </c>
      <c r="F10" s="1366" t="s">
        <v>1384</v>
      </c>
      <c r="G10" s="706" t="s">
        <v>1384</v>
      </c>
      <c r="H10" s="1365">
        <v>90.54</v>
      </c>
      <c r="I10" s="1366">
        <v>76.37</v>
      </c>
      <c r="J10" s="706">
        <v>83.65</v>
      </c>
    </row>
    <row r="11" spans="1:13" ht="12.75" customHeight="1">
      <c r="A11" s="165" t="s">
        <v>1385</v>
      </c>
      <c r="B11" s="1365">
        <v>90.92</v>
      </c>
      <c r="C11" s="1366">
        <v>77.650000000000006</v>
      </c>
      <c r="D11" s="706">
        <v>84.54</v>
      </c>
      <c r="E11" s="1365">
        <v>91.48</v>
      </c>
      <c r="F11" s="1366">
        <v>81.7</v>
      </c>
      <c r="G11" s="706">
        <v>86.74</v>
      </c>
      <c r="H11" s="1365">
        <v>91.02</v>
      </c>
      <c r="I11" s="1366">
        <v>78.37</v>
      </c>
      <c r="J11" s="706">
        <v>84.93</v>
      </c>
    </row>
    <row r="12" spans="1:13" ht="12.75" customHeight="1">
      <c r="A12" s="267" t="s">
        <v>1390</v>
      </c>
      <c r="B12" s="1365">
        <v>92.09</v>
      </c>
      <c r="C12" s="1366">
        <v>80.260000000000005</v>
      </c>
      <c r="D12" s="706">
        <v>86.42</v>
      </c>
      <c r="E12" s="1365">
        <v>87.05</v>
      </c>
      <c r="F12" s="1366">
        <v>79.45</v>
      </c>
      <c r="G12" s="706">
        <v>83.43</v>
      </c>
      <c r="H12" s="1365">
        <v>91.95</v>
      </c>
      <c r="I12" s="1366">
        <v>80.239999999999995</v>
      </c>
      <c r="J12" s="706">
        <v>86.33</v>
      </c>
    </row>
    <row r="13" spans="1:13" ht="12.75" customHeight="1">
      <c r="A13" s="267" t="s">
        <v>1391</v>
      </c>
      <c r="B13" s="1365">
        <v>90.71</v>
      </c>
      <c r="C13" s="1366">
        <v>80.069999999999993</v>
      </c>
      <c r="D13" s="706">
        <v>85.56</v>
      </c>
      <c r="E13" s="1365" t="s">
        <v>1384</v>
      </c>
      <c r="F13" s="1366" t="s">
        <v>1384</v>
      </c>
      <c r="G13" s="706" t="s">
        <v>1384</v>
      </c>
      <c r="H13" s="1365">
        <v>90.71</v>
      </c>
      <c r="I13" s="1366">
        <v>80.069999999999993</v>
      </c>
      <c r="J13" s="706">
        <v>85.56</v>
      </c>
    </row>
    <row r="14" spans="1:13" ht="12.75" customHeight="1">
      <c r="A14" s="604" t="s">
        <v>1392</v>
      </c>
      <c r="B14" s="1365">
        <v>92.46</v>
      </c>
      <c r="C14" s="1366">
        <v>83.05</v>
      </c>
      <c r="D14" s="706">
        <v>87.91</v>
      </c>
      <c r="E14" s="1365">
        <v>91.07</v>
      </c>
      <c r="F14" s="1366">
        <v>80.97</v>
      </c>
      <c r="G14" s="706">
        <v>86.12</v>
      </c>
      <c r="H14" s="1365">
        <v>92.38</v>
      </c>
      <c r="I14" s="1366">
        <v>82.93</v>
      </c>
      <c r="J14" s="706">
        <v>87.81</v>
      </c>
    </row>
    <row r="15" spans="1:13" ht="12.75" customHeight="1">
      <c r="A15" s="267" t="s">
        <v>1383</v>
      </c>
      <c r="B15" s="1366" t="s">
        <v>1384</v>
      </c>
      <c r="C15" s="1366" t="s">
        <v>1384</v>
      </c>
      <c r="D15" s="706" t="s">
        <v>1384</v>
      </c>
      <c r="E15" s="1366">
        <v>94.01</v>
      </c>
      <c r="F15" s="1366">
        <v>86.21</v>
      </c>
      <c r="G15" s="706">
        <v>90.18</v>
      </c>
      <c r="H15" s="1366">
        <v>94.01</v>
      </c>
      <c r="I15" s="1366">
        <v>86.21</v>
      </c>
      <c r="J15" s="706">
        <v>90.18</v>
      </c>
    </row>
    <row r="16" spans="1:13" ht="12.75" customHeight="1">
      <c r="A16" s="267" t="s">
        <v>1389</v>
      </c>
      <c r="B16" s="1366" t="s">
        <v>1384</v>
      </c>
      <c r="C16" s="1366" t="s">
        <v>1384</v>
      </c>
      <c r="D16" s="706" t="s">
        <v>1384</v>
      </c>
      <c r="E16" s="1371">
        <v>89.91</v>
      </c>
      <c r="F16" s="1371">
        <v>79.77</v>
      </c>
      <c r="G16" s="1372">
        <v>84.97</v>
      </c>
      <c r="H16" s="1371">
        <v>89.91</v>
      </c>
      <c r="I16" s="1371">
        <v>79.77</v>
      </c>
      <c r="J16" s="1372">
        <v>84.97</v>
      </c>
    </row>
    <row r="17" spans="1:10" ht="12.75" customHeight="1">
      <c r="A17" s="386" t="s">
        <v>1274</v>
      </c>
      <c r="B17" s="379">
        <v>90.69</v>
      </c>
      <c r="C17" s="377">
        <v>81.17</v>
      </c>
      <c r="D17" s="378">
        <v>86.07</v>
      </c>
      <c r="E17" s="379">
        <v>93.25</v>
      </c>
      <c r="F17" s="521">
        <v>83.58</v>
      </c>
      <c r="G17" s="380">
        <v>88.63</v>
      </c>
      <c r="H17" s="1370">
        <v>91.3</v>
      </c>
      <c r="I17" s="1370">
        <v>81.73</v>
      </c>
      <c r="J17" s="1373">
        <v>86.67</v>
      </c>
    </row>
    <row r="18" spans="1:10" ht="12.75" customHeight="1">
      <c r="A18" s="267" t="s">
        <v>1393</v>
      </c>
      <c r="B18" s="1365">
        <v>91.17</v>
      </c>
      <c r="C18" s="1366">
        <v>80.67</v>
      </c>
      <c r="D18" s="706">
        <v>86.09</v>
      </c>
      <c r="E18" s="1365">
        <v>93.65</v>
      </c>
      <c r="F18" s="1366">
        <v>85.74</v>
      </c>
      <c r="G18" s="706">
        <v>89.73</v>
      </c>
      <c r="H18" s="1365">
        <v>91.25</v>
      </c>
      <c r="I18" s="1366">
        <v>80.84</v>
      </c>
      <c r="J18" s="706">
        <v>86.21</v>
      </c>
    </row>
    <row r="19" spans="1:10" ht="12.75" customHeight="1">
      <c r="A19" s="267" t="s">
        <v>1395</v>
      </c>
      <c r="B19" s="1365">
        <v>88.79</v>
      </c>
      <c r="C19" s="1366">
        <v>80.55</v>
      </c>
      <c r="D19" s="706">
        <v>84.78</v>
      </c>
      <c r="E19" s="1365">
        <v>91.53</v>
      </c>
      <c r="F19" s="1366">
        <v>86.1</v>
      </c>
      <c r="G19" s="706">
        <v>88.85</v>
      </c>
      <c r="H19" s="1365">
        <v>88.86</v>
      </c>
      <c r="I19" s="1366">
        <v>80.709999999999994</v>
      </c>
      <c r="J19" s="706">
        <v>84.89</v>
      </c>
    </row>
    <row r="20" spans="1:10" ht="12.75" customHeight="1">
      <c r="A20" s="267" t="s">
        <v>1396</v>
      </c>
      <c r="B20" s="1365">
        <v>93.25</v>
      </c>
      <c r="C20" s="1366">
        <v>84.8</v>
      </c>
      <c r="D20" s="706">
        <v>89.13</v>
      </c>
      <c r="E20" s="1365">
        <v>92.52</v>
      </c>
      <c r="F20" s="1366">
        <v>86.8</v>
      </c>
      <c r="G20" s="706">
        <v>89.76</v>
      </c>
      <c r="H20" s="1365">
        <v>93.21</v>
      </c>
      <c r="I20" s="1366">
        <v>84.88</v>
      </c>
      <c r="J20" s="706">
        <v>89.16</v>
      </c>
    </row>
    <row r="21" spans="1:10" ht="12.75" customHeight="1">
      <c r="A21" s="267" t="s">
        <v>1397</v>
      </c>
      <c r="B21" s="1365">
        <v>90.26</v>
      </c>
      <c r="C21" s="1366">
        <v>79.94</v>
      </c>
      <c r="D21" s="706">
        <v>85.25</v>
      </c>
      <c r="E21" s="1365">
        <v>94.81</v>
      </c>
      <c r="F21" s="1366">
        <v>83.47</v>
      </c>
      <c r="G21" s="706">
        <v>89.22</v>
      </c>
      <c r="H21" s="1365">
        <v>90.45</v>
      </c>
      <c r="I21" s="1366">
        <v>80.09</v>
      </c>
      <c r="J21" s="706">
        <v>85.42</v>
      </c>
    </row>
    <row r="22" spans="1:10" ht="12.75" customHeight="1">
      <c r="A22" s="387" t="s">
        <v>1399</v>
      </c>
      <c r="B22" s="1365">
        <v>91.02</v>
      </c>
      <c r="C22" s="1366">
        <v>80.58</v>
      </c>
      <c r="D22" s="706">
        <v>85.96</v>
      </c>
      <c r="E22" s="1365" t="s">
        <v>1384</v>
      </c>
      <c r="F22" s="1366" t="s">
        <v>1384</v>
      </c>
      <c r="G22" s="706" t="s">
        <v>1384</v>
      </c>
      <c r="H22" s="1365">
        <v>91.02</v>
      </c>
      <c r="I22" s="1366">
        <v>80.58</v>
      </c>
      <c r="J22" s="706">
        <v>85.96</v>
      </c>
    </row>
    <row r="23" spans="1:10" ht="12.75" customHeight="1">
      <c r="A23" s="267" t="s">
        <v>1400</v>
      </c>
      <c r="B23" s="1366" t="s">
        <v>1384</v>
      </c>
      <c r="C23" s="1366" t="s">
        <v>1384</v>
      </c>
      <c r="D23" s="706" t="s">
        <v>1384</v>
      </c>
      <c r="E23" s="1366">
        <v>93.26</v>
      </c>
      <c r="F23" s="1366">
        <v>83.35</v>
      </c>
      <c r="G23" s="706">
        <v>88.54</v>
      </c>
      <c r="H23" s="1365">
        <v>93.26</v>
      </c>
      <c r="I23" s="1366">
        <v>83.35</v>
      </c>
      <c r="J23" s="706">
        <v>88.54</v>
      </c>
    </row>
    <row r="24" spans="1:10" ht="12.75" customHeight="1">
      <c r="A24" s="386" t="s">
        <v>844</v>
      </c>
      <c r="B24" s="379">
        <v>92.24</v>
      </c>
      <c r="C24" s="377">
        <v>79.819999999999993</v>
      </c>
      <c r="D24" s="378">
        <v>86.25</v>
      </c>
      <c r="E24" s="379">
        <v>90.18</v>
      </c>
      <c r="F24" s="377">
        <v>79.44</v>
      </c>
      <c r="G24" s="380">
        <v>84.92</v>
      </c>
      <c r="H24" s="1370">
        <v>92.14</v>
      </c>
      <c r="I24" s="1370">
        <v>79.8</v>
      </c>
      <c r="J24" s="1373">
        <v>86.18</v>
      </c>
    </row>
    <row r="25" spans="1:10" ht="12.75" customHeight="1">
      <c r="A25" s="267" t="s">
        <v>1269</v>
      </c>
      <c r="B25" s="1365">
        <v>92.24</v>
      </c>
      <c r="C25" s="1366">
        <v>80.03</v>
      </c>
      <c r="D25" s="706">
        <v>86.34</v>
      </c>
      <c r="E25" s="1365">
        <v>83.62</v>
      </c>
      <c r="F25" s="1366">
        <v>70.75</v>
      </c>
      <c r="G25" s="706">
        <v>77.38</v>
      </c>
      <c r="H25" s="1365">
        <v>91.93</v>
      </c>
      <c r="I25" s="1366">
        <v>79.7</v>
      </c>
      <c r="J25" s="706">
        <v>86.02</v>
      </c>
    </row>
    <row r="26" spans="1:10" ht="12.75" customHeight="1">
      <c r="A26" s="267" t="s">
        <v>1270</v>
      </c>
      <c r="B26" s="1365">
        <v>92.1</v>
      </c>
      <c r="C26" s="1366">
        <v>80.53</v>
      </c>
      <c r="D26" s="706">
        <v>86.5</v>
      </c>
      <c r="E26" s="1365" t="s">
        <v>1384</v>
      </c>
      <c r="F26" s="1366" t="s">
        <v>1384</v>
      </c>
      <c r="G26" s="706" t="s">
        <v>1384</v>
      </c>
      <c r="H26" s="1365">
        <v>92.1</v>
      </c>
      <c r="I26" s="1366">
        <v>80.53</v>
      </c>
      <c r="J26" s="706">
        <v>86.5</v>
      </c>
    </row>
    <row r="27" spans="1:10" ht="12.75" customHeight="1">
      <c r="A27" s="267" t="s">
        <v>1412</v>
      </c>
      <c r="B27" s="1365">
        <v>93.62</v>
      </c>
      <c r="C27" s="1366">
        <v>82.77</v>
      </c>
      <c r="D27" s="706">
        <v>88.38</v>
      </c>
      <c r="E27" s="1365">
        <v>88.75</v>
      </c>
      <c r="F27" s="1366">
        <v>77.27</v>
      </c>
      <c r="G27" s="706">
        <v>83.15</v>
      </c>
      <c r="H27" s="1365">
        <v>93.38</v>
      </c>
      <c r="I27" s="1366">
        <v>82.5</v>
      </c>
      <c r="J27" s="706">
        <v>88.13</v>
      </c>
    </row>
    <row r="28" spans="1:10" ht="12.75" customHeight="1">
      <c r="A28" s="267" t="s">
        <v>1413</v>
      </c>
      <c r="B28" s="1365">
        <v>89.78</v>
      </c>
      <c r="C28" s="1366">
        <v>75.400000000000006</v>
      </c>
      <c r="D28" s="706">
        <v>82.83</v>
      </c>
      <c r="E28" s="1365" t="s">
        <v>1384</v>
      </c>
      <c r="F28" s="1366" t="s">
        <v>1384</v>
      </c>
      <c r="G28" s="706" t="s">
        <v>1384</v>
      </c>
      <c r="H28" s="1365">
        <v>89.78</v>
      </c>
      <c r="I28" s="1366">
        <v>75.400000000000006</v>
      </c>
      <c r="J28" s="706">
        <v>82.83</v>
      </c>
    </row>
    <row r="29" spans="1:10" ht="12.75" customHeight="1">
      <c r="A29" s="267" t="s">
        <v>1414</v>
      </c>
      <c r="B29" s="1365">
        <v>92.99</v>
      </c>
      <c r="C29" s="1366">
        <v>79.45</v>
      </c>
      <c r="D29" s="706">
        <v>86.47</v>
      </c>
      <c r="E29" s="1365" t="s">
        <v>1384</v>
      </c>
      <c r="F29" s="1366" t="s">
        <v>1384</v>
      </c>
      <c r="G29" s="706" t="s">
        <v>1384</v>
      </c>
      <c r="H29" s="1365">
        <v>92.99</v>
      </c>
      <c r="I29" s="1366">
        <v>79.45</v>
      </c>
      <c r="J29" s="706">
        <v>86.47</v>
      </c>
    </row>
    <row r="30" spans="1:10" ht="12.75" customHeight="1">
      <c r="A30" s="267" t="s">
        <v>1415</v>
      </c>
      <c r="B30" s="1366" t="s">
        <v>1384</v>
      </c>
      <c r="C30" s="1366" t="s">
        <v>1384</v>
      </c>
      <c r="D30" s="706" t="s">
        <v>1384</v>
      </c>
      <c r="E30" s="1366">
        <v>92.09</v>
      </c>
      <c r="F30" s="1366">
        <v>82.03</v>
      </c>
      <c r="G30" s="706">
        <v>87.14</v>
      </c>
      <c r="H30" s="1365">
        <v>92.09</v>
      </c>
      <c r="I30" s="1366">
        <v>82.03</v>
      </c>
      <c r="J30" s="706">
        <v>87.14</v>
      </c>
    </row>
    <row r="31" spans="1:10" ht="12.75" customHeight="1">
      <c r="A31" s="386" t="s">
        <v>1275</v>
      </c>
      <c r="B31" s="379">
        <v>93.99</v>
      </c>
      <c r="C31" s="377">
        <v>83.54</v>
      </c>
      <c r="D31" s="378">
        <v>88.92</v>
      </c>
      <c r="E31" s="379">
        <v>95.23</v>
      </c>
      <c r="F31" s="521">
        <v>89.42</v>
      </c>
      <c r="G31" s="380">
        <v>92.51</v>
      </c>
      <c r="H31" s="1370">
        <v>94.09</v>
      </c>
      <c r="I31" s="1370">
        <v>83.97</v>
      </c>
      <c r="J31" s="1373">
        <v>89.19</v>
      </c>
    </row>
    <row r="32" spans="1:10" ht="12.75" customHeight="1">
      <c r="A32" s="267" t="s">
        <v>1419</v>
      </c>
      <c r="B32" s="1365">
        <v>93.19</v>
      </c>
      <c r="C32" s="1366">
        <v>84.36</v>
      </c>
      <c r="D32" s="706">
        <v>88.9</v>
      </c>
      <c r="E32" s="1365" t="s">
        <v>1384</v>
      </c>
      <c r="F32" s="1366" t="s">
        <v>1384</v>
      </c>
      <c r="G32" s="706" t="s">
        <v>1384</v>
      </c>
      <c r="H32" s="1365">
        <v>93.19</v>
      </c>
      <c r="I32" s="1366">
        <v>84.36</v>
      </c>
      <c r="J32" s="706">
        <v>88.9</v>
      </c>
    </row>
    <row r="33" spans="1:15" ht="12.75" customHeight="1">
      <c r="A33" s="267" t="s">
        <v>1420</v>
      </c>
      <c r="B33" s="1365">
        <v>90.68</v>
      </c>
      <c r="C33" s="1366">
        <v>79.8</v>
      </c>
      <c r="D33" s="706">
        <v>85.37</v>
      </c>
      <c r="E33" s="1365" t="s">
        <v>1384</v>
      </c>
      <c r="F33" s="1366" t="s">
        <v>1384</v>
      </c>
      <c r="G33" s="706" t="s">
        <v>1384</v>
      </c>
      <c r="H33" s="1365">
        <v>90.68</v>
      </c>
      <c r="I33" s="1366">
        <v>79.8</v>
      </c>
      <c r="J33" s="706">
        <v>85.37</v>
      </c>
    </row>
    <row r="34" spans="1:15" ht="12.75" customHeight="1">
      <c r="A34" s="267" t="s">
        <v>1422</v>
      </c>
      <c r="B34" s="1365">
        <v>95.37</v>
      </c>
      <c r="C34" s="1366">
        <v>86.29</v>
      </c>
      <c r="D34" s="706">
        <v>90.98</v>
      </c>
      <c r="E34" s="1365" t="s">
        <v>1384</v>
      </c>
      <c r="F34" s="1366" t="s">
        <v>1384</v>
      </c>
      <c r="G34" s="706" t="s">
        <v>1384</v>
      </c>
      <c r="H34" s="1365">
        <v>95.37</v>
      </c>
      <c r="I34" s="1366">
        <v>86.29</v>
      </c>
      <c r="J34" s="706">
        <v>90.98</v>
      </c>
    </row>
    <row r="35" spans="1:15" ht="12.75" customHeight="1">
      <c r="A35" s="267" t="s">
        <v>1423</v>
      </c>
      <c r="B35" s="1365">
        <v>93.89</v>
      </c>
      <c r="C35" s="1366">
        <v>81.760000000000005</v>
      </c>
      <c r="D35" s="706">
        <v>87.92</v>
      </c>
      <c r="E35" s="1365">
        <v>89.97</v>
      </c>
      <c r="F35" s="1366">
        <v>80.67</v>
      </c>
      <c r="G35" s="706">
        <v>85.41</v>
      </c>
      <c r="H35" s="1365">
        <v>93.76</v>
      </c>
      <c r="I35" s="1366">
        <v>81.72</v>
      </c>
      <c r="J35" s="706">
        <v>87.84</v>
      </c>
    </row>
    <row r="36" spans="1:15" ht="12.75" customHeight="1">
      <c r="A36" s="267" t="s">
        <v>1425</v>
      </c>
      <c r="B36" s="1365">
        <v>95.02</v>
      </c>
      <c r="C36" s="1366">
        <v>83.37</v>
      </c>
      <c r="D36" s="706">
        <v>89.38</v>
      </c>
      <c r="E36" s="1365" t="s">
        <v>1384</v>
      </c>
      <c r="F36" s="1366" t="s">
        <v>1384</v>
      </c>
      <c r="G36" s="706" t="s">
        <v>1384</v>
      </c>
      <c r="H36" s="1365">
        <v>95.02</v>
      </c>
      <c r="I36" s="1366">
        <v>83.37</v>
      </c>
      <c r="J36" s="706">
        <v>89.38</v>
      </c>
      <c r="L36" s="78"/>
      <c r="M36" s="78"/>
      <c r="N36" s="93"/>
      <c r="O36" s="7"/>
    </row>
    <row r="37" spans="1:15" ht="12.75" customHeight="1">
      <c r="A37" s="267" t="s">
        <v>1426</v>
      </c>
      <c r="B37" s="1365">
        <v>94.57</v>
      </c>
      <c r="C37" s="1366">
        <v>83.73</v>
      </c>
      <c r="D37" s="706">
        <v>89.32</v>
      </c>
      <c r="E37" s="1365" t="s">
        <v>1384</v>
      </c>
      <c r="F37" s="1366" t="s">
        <v>1384</v>
      </c>
      <c r="G37" s="706" t="s">
        <v>1384</v>
      </c>
      <c r="H37" s="1365">
        <v>94.57</v>
      </c>
      <c r="I37" s="1366">
        <v>83.73</v>
      </c>
      <c r="J37" s="706">
        <v>89.32</v>
      </c>
    </row>
    <row r="38" spans="1:15" ht="12.75" customHeight="1">
      <c r="A38" s="604" t="s">
        <v>263</v>
      </c>
      <c r="B38" s="1365">
        <v>93.53</v>
      </c>
      <c r="C38" s="1366">
        <v>83.41</v>
      </c>
      <c r="D38" s="706">
        <v>88.63</v>
      </c>
      <c r="E38" s="1365">
        <v>85.17</v>
      </c>
      <c r="F38" s="1366">
        <v>71.989999999999995</v>
      </c>
      <c r="G38" s="706">
        <v>78.84</v>
      </c>
      <c r="H38" s="1365">
        <v>93.28</v>
      </c>
      <c r="I38" s="1366">
        <v>83.07</v>
      </c>
      <c r="J38" s="706">
        <v>88.33</v>
      </c>
    </row>
    <row r="39" spans="1:15" ht="12.75" customHeight="1">
      <c r="A39" s="267" t="s">
        <v>1429</v>
      </c>
      <c r="B39" s="1365">
        <v>94.75</v>
      </c>
      <c r="C39" s="1366">
        <v>84.75</v>
      </c>
      <c r="D39" s="706">
        <v>89.89</v>
      </c>
      <c r="E39" s="1365" t="s">
        <v>1384</v>
      </c>
      <c r="F39" s="1366" t="s">
        <v>1384</v>
      </c>
      <c r="G39" s="706" t="s">
        <v>1384</v>
      </c>
      <c r="H39" s="1365">
        <v>94.75</v>
      </c>
      <c r="I39" s="1366">
        <v>84.75</v>
      </c>
      <c r="J39" s="706">
        <v>89.89</v>
      </c>
    </row>
    <row r="40" spans="1:15" ht="12.75" customHeight="1">
      <c r="A40" s="305" t="s">
        <v>1427</v>
      </c>
      <c r="B40" s="1367" t="s">
        <v>1384</v>
      </c>
      <c r="C40" s="1368" t="s">
        <v>1384</v>
      </c>
      <c r="D40" s="1369" t="s">
        <v>1384</v>
      </c>
      <c r="E40" s="1366">
        <v>96.07</v>
      </c>
      <c r="F40" s="1368">
        <v>90.96</v>
      </c>
      <c r="G40" s="1369">
        <v>93.69</v>
      </c>
      <c r="H40" s="1367">
        <v>96.07</v>
      </c>
      <c r="I40" s="1368">
        <v>90.96</v>
      </c>
      <c r="J40" s="1369">
        <v>93.69</v>
      </c>
    </row>
    <row r="41" spans="1:15" s="7" customFormat="1" ht="12.75" customHeight="1">
      <c r="A41" s="1220" t="s">
        <v>398</v>
      </c>
      <c r="B41" s="1362" t="s">
        <v>126</v>
      </c>
      <c r="C41" s="1363" t="s">
        <v>127</v>
      </c>
      <c r="D41" s="1364" t="s">
        <v>128</v>
      </c>
      <c r="E41" s="384">
        <v>92.9</v>
      </c>
      <c r="F41" s="382" t="s">
        <v>129</v>
      </c>
      <c r="G41" s="383">
        <v>88.6</v>
      </c>
      <c r="H41" s="384" t="s">
        <v>130</v>
      </c>
      <c r="I41" s="382" t="s">
        <v>131</v>
      </c>
      <c r="J41" s="383" t="s">
        <v>132</v>
      </c>
    </row>
    <row r="42" spans="1:15" ht="12.75" customHeight="1">
      <c r="A42" s="871" t="s">
        <v>125</v>
      </c>
      <c r="B42" s="1357"/>
      <c r="C42" s="1357"/>
      <c r="D42" s="1357"/>
      <c r="E42" s="1130"/>
      <c r="F42" s="1130"/>
      <c r="G42" s="1130"/>
      <c r="H42" s="1130"/>
      <c r="I42" s="71"/>
      <c r="J42" s="1352" t="s">
        <v>120</v>
      </c>
    </row>
    <row r="43" spans="1:15" ht="12.75" customHeight="1">
      <c r="A43" s="1130"/>
      <c r="B43" s="1131"/>
      <c r="C43" s="1131"/>
      <c r="D43" s="1131"/>
      <c r="E43" s="71"/>
      <c r="F43" s="71"/>
      <c r="G43" s="1041"/>
      <c r="H43" s="1129"/>
      <c r="I43" s="1129"/>
      <c r="J43" s="1129"/>
    </row>
    <row r="44" spans="1:15" ht="12.75" customHeight="1">
      <c r="B44" s="62"/>
      <c r="C44" s="62"/>
      <c r="D44" s="62"/>
      <c r="E44" s="62"/>
      <c r="F44" s="62"/>
      <c r="G44" s="62"/>
      <c r="H44" s="62"/>
      <c r="I44" s="62"/>
      <c r="J44" s="62"/>
    </row>
    <row r="45" spans="1:15" ht="12.75" customHeight="1">
      <c r="A45" s="62"/>
      <c r="B45" s="62"/>
      <c r="C45" s="62"/>
      <c r="D45" s="62"/>
      <c r="E45" s="62"/>
      <c r="F45" s="235"/>
      <c r="G45" s="62"/>
      <c r="H45" s="62"/>
      <c r="I45" s="62"/>
      <c r="J45" s="62"/>
    </row>
    <row r="46" spans="1:15" ht="12.75" customHeight="1">
      <c r="A46" s="62"/>
      <c r="B46" s="62"/>
      <c r="C46" s="62"/>
      <c r="D46" s="62"/>
      <c r="E46" s="62"/>
      <c r="F46" s="62"/>
      <c r="G46" s="62"/>
      <c r="H46" s="62"/>
      <c r="I46" s="62"/>
      <c r="J46" s="62"/>
    </row>
    <row r="47" spans="1:15" ht="12.75" customHeight="1">
      <c r="A47" s="62"/>
      <c r="B47" s="62"/>
      <c r="C47" s="62"/>
      <c r="D47" s="62"/>
      <c r="E47" s="62"/>
      <c r="F47" s="62"/>
      <c r="G47" s="62"/>
      <c r="H47" s="62"/>
      <c r="I47" s="62"/>
      <c r="J47" s="62"/>
    </row>
    <row r="48" spans="1:15" ht="12.75" customHeight="1">
      <c r="A48" s="62"/>
      <c r="B48" s="62"/>
      <c r="C48" s="62"/>
      <c r="D48" s="62"/>
      <c r="E48" s="62"/>
      <c r="F48" s="62"/>
      <c r="G48" s="62"/>
      <c r="H48" s="62"/>
      <c r="I48" s="62"/>
      <c r="J48" s="62"/>
    </row>
    <row r="49" spans="1:10" ht="12.75" customHeight="1">
      <c r="A49" s="62"/>
      <c r="B49" s="62"/>
      <c r="C49" s="62"/>
      <c r="D49" s="62"/>
      <c r="E49" s="62"/>
      <c r="F49" s="62"/>
      <c r="G49" s="62"/>
      <c r="H49" s="62"/>
      <c r="I49" s="62"/>
      <c r="J49" s="62"/>
    </row>
  </sheetData>
  <mergeCells count="6">
    <mergeCell ref="A1:J1"/>
    <mergeCell ref="A2:J2"/>
    <mergeCell ref="A4:A5"/>
    <mergeCell ref="B4:D4"/>
    <mergeCell ref="E4:G4"/>
    <mergeCell ref="H4:J4"/>
  </mergeCells>
  <phoneticPr fontId="0" type="noConversion"/>
  <printOptions horizontalCentered="1"/>
  <pageMargins left="0" right="0" top="0.3" bottom="0" header="0" footer="0"/>
  <pageSetup paperSize="9" orientation="landscape" blackAndWhite="1" r:id="rId1"/>
  <headerFooter alignWithMargins="0"/>
</worksheet>
</file>

<file path=xl/worksheets/sheet39.xml><?xml version="1.0" encoding="utf-8"?>
<worksheet xmlns="http://schemas.openxmlformats.org/spreadsheetml/2006/main" xmlns:r="http://schemas.openxmlformats.org/officeDocument/2006/relationships">
  <sheetPr codeName="Sheet35"/>
  <dimension ref="A1:I49"/>
  <sheetViews>
    <sheetView workbookViewId="0">
      <selection activeCell="C54" sqref="C54"/>
    </sheetView>
  </sheetViews>
  <sheetFormatPr defaultRowHeight="12.4" customHeight="1"/>
  <cols>
    <col min="1" max="1" width="25" customWidth="1"/>
    <col min="2" max="3" width="16.7109375" customWidth="1"/>
    <col min="4" max="4" width="20.7109375" customWidth="1"/>
    <col min="5" max="5" width="13.7109375" customWidth="1"/>
    <col min="6" max="6" width="8.5703125" customWidth="1"/>
    <col min="7" max="7" width="9.140625" customWidth="1"/>
  </cols>
  <sheetData>
    <row r="1" spans="1:9" ht="16.5" customHeight="1">
      <c r="A1" s="1825" t="s">
        <v>765</v>
      </c>
      <c r="B1" s="1825"/>
      <c r="C1" s="1825"/>
      <c r="D1" s="1825"/>
      <c r="E1" s="1531"/>
    </row>
    <row r="2" spans="1:9" ht="33.75" customHeight="1">
      <c r="A2" s="1853" t="str">
        <f>CONCATENATE(" Public Libraries, Reading Rooms and Mass Literacy Centres 
in the district of ",District!A1)</f>
        <v xml:space="preserve"> Public Libraries, Reading Rooms and Mass Literacy Centres 
in the district of Purba Medinipur</v>
      </c>
      <c r="B2" s="1853"/>
      <c r="C2" s="1853"/>
      <c r="D2" s="1853"/>
      <c r="E2" s="1533"/>
    </row>
    <row r="3" spans="1:9" ht="15" customHeight="1">
      <c r="A3" s="7"/>
      <c r="B3" s="7"/>
      <c r="C3" s="7"/>
      <c r="D3" s="204" t="s">
        <v>1001</v>
      </c>
      <c r="E3" s="204"/>
    </row>
    <row r="4" spans="1:9" ht="42" customHeight="1">
      <c r="A4" s="356" t="s">
        <v>899</v>
      </c>
      <c r="B4" s="357" t="s">
        <v>982</v>
      </c>
      <c r="C4" s="356" t="s">
        <v>983</v>
      </c>
      <c r="D4" s="687" t="s">
        <v>1287</v>
      </c>
      <c r="E4" s="1534"/>
    </row>
    <row r="5" spans="1:9" ht="15" customHeight="1">
      <c r="A5" s="134" t="s">
        <v>955</v>
      </c>
      <c r="B5" s="135" t="s">
        <v>956</v>
      </c>
      <c r="C5" s="134" t="s">
        <v>957</v>
      </c>
      <c r="D5" s="136" t="s">
        <v>958</v>
      </c>
      <c r="E5" s="555"/>
    </row>
    <row r="6" spans="1:9" ht="15" customHeight="1">
      <c r="A6" s="1543" t="s">
        <v>1356</v>
      </c>
      <c r="B6" s="104">
        <v>121</v>
      </c>
      <c r="C6" s="110">
        <v>124</v>
      </c>
      <c r="D6" s="1536">
        <v>3100</v>
      </c>
      <c r="E6" s="1540"/>
    </row>
    <row r="7" spans="1:9" ht="15" customHeight="1">
      <c r="A7" s="1543" t="s">
        <v>306</v>
      </c>
      <c r="B7" s="104">
        <v>121</v>
      </c>
      <c r="C7" s="110">
        <v>124</v>
      </c>
      <c r="D7" s="1536">
        <v>3100</v>
      </c>
      <c r="E7" s="1540"/>
    </row>
    <row r="8" spans="1:9" ht="15" customHeight="1">
      <c r="A8" s="1543" t="s">
        <v>1357</v>
      </c>
      <c r="B8" s="102">
        <v>121</v>
      </c>
      <c r="C8" s="110">
        <v>124</v>
      </c>
      <c r="D8" s="1536">
        <v>3161</v>
      </c>
      <c r="E8" s="1540"/>
    </row>
    <row r="9" spans="1:9" ht="15" customHeight="1">
      <c r="A9" s="1543" t="s">
        <v>628</v>
      </c>
      <c r="B9" s="102">
        <v>121</v>
      </c>
      <c r="C9" s="110">
        <v>124</v>
      </c>
      <c r="D9" s="102">
        <v>3161</v>
      </c>
      <c r="E9" s="1540"/>
      <c r="F9" s="1529"/>
    </row>
    <row r="10" spans="1:9" ht="15" customHeight="1">
      <c r="A10" s="823" t="s">
        <v>1639</v>
      </c>
      <c r="B10" s="780">
        <f>SUM(B12,B22,B29,B36)</f>
        <v>121</v>
      </c>
      <c r="C10" s="779">
        <f>SUM(C12,C22,C29,C36)</f>
        <v>124</v>
      </c>
      <c r="D10" s="511" t="s">
        <v>918</v>
      </c>
      <c r="E10" s="1528"/>
      <c r="F10" s="1550"/>
      <c r="G10" s="760"/>
      <c r="H10" s="759"/>
      <c r="I10" s="759"/>
    </row>
    <row r="11" spans="1:9" ht="20.25" customHeight="1">
      <c r="A11" s="744" t="s">
        <v>180</v>
      </c>
      <c r="B11" s="2005" t="str">
        <f>"Year : " &amp; A10</f>
        <v>Year : 2013-14</v>
      </c>
      <c r="C11" s="2006"/>
      <c r="D11" s="2007"/>
      <c r="E11" s="1531"/>
      <c r="G11" s="35"/>
    </row>
    <row r="12" spans="1:9" ht="16.5" customHeight="1">
      <c r="A12" s="610" t="s">
        <v>1273</v>
      </c>
      <c r="B12" s="560">
        <f>SUM(B13:B21)</f>
        <v>43</v>
      </c>
      <c r="C12" s="560">
        <f>SUM(C13:C21)</f>
        <v>45</v>
      </c>
      <c r="D12" s="253" t="s">
        <v>918</v>
      </c>
      <c r="E12" s="1537"/>
      <c r="F12" s="1537"/>
      <c r="G12" s="1530"/>
    </row>
    <row r="13" spans="1:9" ht="16.5" customHeight="1">
      <c r="A13" s="267" t="s">
        <v>337</v>
      </c>
      <c r="B13" s="110">
        <v>5</v>
      </c>
      <c r="C13" s="110">
        <v>5</v>
      </c>
      <c r="D13" s="144" t="s">
        <v>918</v>
      </c>
      <c r="E13" s="1540"/>
      <c r="F13" s="1540"/>
      <c r="G13" s="1530"/>
    </row>
    <row r="14" spans="1:9" ht="16.5" customHeight="1">
      <c r="A14" s="267" t="s">
        <v>1386</v>
      </c>
      <c r="B14" s="110">
        <v>5</v>
      </c>
      <c r="C14" s="110">
        <v>5</v>
      </c>
      <c r="D14" s="144" t="s">
        <v>918</v>
      </c>
      <c r="E14" s="1540"/>
      <c r="F14" s="1540"/>
      <c r="G14" s="1530"/>
    </row>
    <row r="15" spans="1:9" ht="16.5" customHeight="1">
      <c r="A15" s="267" t="s">
        <v>1388</v>
      </c>
      <c r="B15" s="110">
        <v>5</v>
      </c>
      <c r="C15" s="110">
        <v>5</v>
      </c>
      <c r="D15" s="144" t="s">
        <v>918</v>
      </c>
      <c r="E15" s="1540"/>
      <c r="F15" s="1540"/>
      <c r="G15" s="1530"/>
    </row>
    <row r="16" spans="1:9" ht="16.5" customHeight="1">
      <c r="A16" s="165" t="s">
        <v>1568</v>
      </c>
      <c r="B16" s="110">
        <v>7</v>
      </c>
      <c r="C16" s="110">
        <v>7</v>
      </c>
      <c r="D16" s="144" t="s">
        <v>918</v>
      </c>
      <c r="E16" s="1540"/>
      <c r="F16" s="1540"/>
      <c r="G16" s="1530"/>
    </row>
    <row r="17" spans="1:7" ht="16.5" customHeight="1">
      <c r="A17" s="267" t="s">
        <v>1390</v>
      </c>
      <c r="B17" s="110">
        <v>5</v>
      </c>
      <c r="C17" s="110">
        <v>5</v>
      </c>
      <c r="D17" s="144" t="s">
        <v>918</v>
      </c>
      <c r="E17" s="1540"/>
      <c r="F17" s="1540"/>
      <c r="G17" s="1530"/>
    </row>
    <row r="18" spans="1:7" ht="16.5" customHeight="1">
      <c r="A18" s="267" t="s">
        <v>1391</v>
      </c>
      <c r="B18" s="110">
        <v>7</v>
      </c>
      <c r="C18" s="110">
        <v>7</v>
      </c>
      <c r="D18" s="144" t="s">
        <v>918</v>
      </c>
      <c r="E18" s="1540"/>
      <c r="F18" s="1540"/>
      <c r="G18" s="1530"/>
    </row>
    <row r="19" spans="1:7" ht="16.5" customHeight="1">
      <c r="A19" s="604" t="s">
        <v>1569</v>
      </c>
      <c r="B19" s="110">
        <v>5</v>
      </c>
      <c r="C19" s="110">
        <v>5</v>
      </c>
      <c r="D19" s="144" t="s">
        <v>918</v>
      </c>
      <c r="E19" s="1540"/>
      <c r="F19" s="1540"/>
      <c r="G19" s="1530"/>
    </row>
    <row r="20" spans="1:7" ht="16.5" customHeight="1">
      <c r="A20" s="267" t="s">
        <v>1383</v>
      </c>
      <c r="B20" s="110">
        <v>3</v>
      </c>
      <c r="C20" s="110">
        <v>5</v>
      </c>
      <c r="D20" s="144" t="s">
        <v>918</v>
      </c>
      <c r="E20" s="1540"/>
      <c r="F20" s="1540"/>
      <c r="G20" s="1530"/>
    </row>
    <row r="21" spans="1:7" ht="16.5" customHeight="1">
      <c r="A21" s="267" t="s">
        <v>1389</v>
      </c>
      <c r="B21" s="110">
        <v>1</v>
      </c>
      <c r="C21" s="110">
        <v>1</v>
      </c>
      <c r="D21" s="144" t="s">
        <v>918</v>
      </c>
      <c r="E21" s="1540"/>
      <c r="F21" s="1540"/>
      <c r="G21" s="1530"/>
    </row>
    <row r="22" spans="1:7" ht="16.5" customHeight="1">
      <c r="A22" s="386" t="s">
        <v>1274</v>
      </c>
      <c r="B22" s="388">
        <f>SUM(B23:B28)</f>
        <v>26</v>
      </c>
      <c r="C22" s="388">
        <f>SUM(C23:C28)</f>
        <v>26</v>
      </c>
      <c r="D22" s="253" t="s">
        <v>918</v>
      </c>
      <c r="E22" s="1537"/>
      <c r="F22" s="1537"/>
      <c r="G22" s="1530"/>
    </row>
    <row r="23" spans="1:7" ht="16.5" customHeight="1">
      <c r="A23" s="267" t="s">
        <v>1393</v>
      </c>
      <c r="B23" s="110">
        <v>6</v>
      </c>
      <c r="C23" s="110">
        <v>6</v>
      </c>
      <c r="D23" s="144" t="s">
        <v>918</v>
      </c>
      <c r="E23" s="1540"/>
      <c r="F23" s="1540"/>
      <c r="G23" s="1530"/>
    </row>
    <row r="24" spans="1:7" ht="16.5" customHeight="1">
      <c r="A24" s="267" t="s">
        <v>1395</v>
      </c>
      <c r="B24" s="110">
        <v>6</v>
      </c>
      <c r="C24" s="110">
        <v>6</v>
      </c>
      <c r="D24" s="144" t="s">
        <v>918</v>
      </c>
      <c r="E24" s="1540"/>
      <c r="F24" s="1540"/>
      <c r="G24" s="1530"/>
    </row>
    <row r="25" spans="1:7" ht="16.5" customHeight="1">
      <c r="A25" s="267" t="s">
        <v>1396</v>
      </c>
      <c r="B25" s="110">
        <v>5</v>
      </c>
      <c r="C25" s="110">
        <v>5</v>
      </c>
      <c r="D25" s="144" t="s">
        <v>918</v>
      </c>
      <c r="E25" s="1540"/>
      <c r="F25" s="1540"/>
      <c r="G25" s="1530"/>
    </row>
    <row r="26" spans="1:7" ht="16.5" customHeight="1">
      <c r="A26" s="267" t="s">
        <v>1397</v>
      </c>
      <c r="B26" s="110">
        <v>3</v>
      </c>
      <c r="C26" s="110">
        <v>3</v>
      </c>
      <c r="D26" s="144" t="s">
        <v>918</v>
      </c>
      <c r="E26" s="1540"/>
      <c r="F26" s="1540"/>
      <c r="G26" s="1530"/>
    </row>
    <row r="27" spans="1:7" ht="16.5" customHeight="1">
      <c r="A27" s="387" t="s">
        <v>1399</v>
      </c>
      <c r="B27" s="110">
        <v>3</v>
      </c>
      <c r="C27" s="110">
        <v>3</v>
      </c>
      <c r="D27" s="144" t="s">
        <v>918</v>
      </c>
      <c r="E27" s="1540"/>
      <c r="F27" s="1540"/>
      <c r="G27" s="1530"/>
    </row>
    <row r="28" spans="1:7" ht="16.5" customHeight="1">
      <c r="A28" s="267" t="s">
        <v>1400</v>
      </c>
      <c r="B28" s="110">
        <v>3</v>
      </c>
      <c r="C28" s="110">
        <v>3</v>
      </c>
      <c r="D28" s="144" t="s">
        <v>918</v>
      </c>
      <c r="E28" s="1540"/>
      <c r="F28" s="1540"/>
      <c r="G28" s="1530"/>
    </row>
    <row r="29" spans="1:7" ht="16.5" customHeight="1">
      <c r="A29" s="386" t="s">
        <v>844</v>
      </c>
      <c r="B29" s="388">
        <f>SUM(B30:B35)</f>
        <v>19</v>
      </c>
      <c r="C29" s="388">
        <f>SUM(C30:C35)</f>
        <v>19</v>
      </c>
      <c r="D29" s="253" t="s">
        <v>918</v>
      </c>
      <c r="E29" s="1537"/>
      <c r="F29" s="1537"/>
      <c r="G29" s="1530"/>
    </row>
    <row r="30" spans="1:7" ht="16.5" customHeight="1">
      <c r="A30" s="267" t="s">
        <v>1269</v>
      </c>
      <c r="B30" s="110">
        <v>3</v>
      </c>
      <c r="C30" s="110">
        <v>3</v>
      </c>
      <c r="D30" s="144" t="s">
        <v>918</v>
      </c>
      <c r="E30" s="1540"/>
      <c r="F30" s="1540"/>
      <c r="G30" s="1530"/>
    </row>
    <row r="31" spans="1:7" ht="16.5" customHeight="1">
      <c r="A31" s="267" t="s">
        <v>1270</v>
      </c>
      <c r="B31" s="110">
        <v>3</v>
      </c>
      <c r="C31" s="110">
        <v>3</v>
      </c>
      <c r="D31" s="144" t="s">
        <v>918</v>
      </c>
      <c r="E31" s="1540"/>
      <c r="F31" s="1540"/>
      <c r="G31" s="1530"/>
    </row>
    <row r="32" spans="1:7" ht="16.5" customHeight="1">
      <c r="A32" s="267" t="s">
        <v>1412</v>
      </c>
      <c r="B32" s="110">
        <v>5</v>
      </c>
      <c r="C32" s="110">
        <v>5</v>
      </c>
      <c r="D32" s="144" t="s">
        <v>918</v>
      </c>
      <c r="E32" s="1540"/>
      <c r="F32" s="1540"/>
      <c r="G32" s="1530"/>
    </row>
    <row r="33" spans="1:7" ht="16.5" customHeight="1">
      <c r="A33" s="267" t="s">
        <v>1413</v>
      </c>
      <c r="B33" s="110">
        <v>3</v>
      </c>
      <c r="C33" s="110">
        <v>3</v>
      </c>
      <c r="D33" s="144" t="s">
        <v>918</v>
      </c>
      <c r="E33" s="1540"/>
      <c r="F33" s="1540"/>
      <c r="G33" s="1530"/>
    </row>
    <row r="34" spans="1:7" ht="16.5" customHeight="1">
      <c r="A34" s="267" t="s">
        <v>1414</v>
      </c>
      <c r="B34" s="110">
        <v>4</v>
      </c>
      <c r="C34" s="110">
        <v>4</v>
      </c>
      <c r="D34" s="144" t="s">
        <v>918</v>
      </c>
      <c r="E34" s="1540"/>
      <c r="F34" s="1540"/>
      <c r="G34" s="1530"/>
    </row>
    <row r="35" spans="1:7" ht="16.5" customHeight="1">
      <c r="A35" s="267" t="s">
        <v>156</v>
      </c>
      <c r="B35" s="110">
        <v>1</v>
      </c>
      <c r="C35" s="110">
        <v>1</v>
      </c>
      <c r="D35" s="144" t="s">
        <v>918</v>
      </c>
      <c r="E35" s="1540"/>
      <c r="F35" s="1540"/>
      <c r="G35" s="1530"/>
    </row>
    <row r="36" spans="1:7" ht="16.5" customHeight="1">
      <c r="A36" s="386" t="s">
        <v>1275</v>
      </c>
      <c r="B36" s="388">
        <f>SUM(B37:B45)</f>
        <v>33</v>
      </c>
      <c r="C36" s="388">
        <f>SUM(C37:C45)</f>
        <v>34</v>
      </c>
      <c r="D36" s="253" t="s">
        <v>918</v>
      </c>
      <c r="E36" s="1537"/>
      <c r="F36" s="1537"/>
      <c r="G36" s="1530"/>
    </row>
    <row r="37" spans="1:7" ht="16.5" customHeight="1">
      <c r="A37" s="267" t="s">
        <v>1419</v>
      </c>
      <c r="B37" s="110">
        <v>5</v>
      </c>
      <c r="C37" s="110">
        <v>5</v>
      </c>
      <c r="D37" s="144" t="s">
        <v>918</v>
      </c>
      <c r="E37" s="1540"/>
      <c r="F37" s="1540"/>
      <c r="G37" s="1530"/>
    </row>
    <row r="38" spans="1:7" ht="16.5" customHeight="1">
      <c r="A38" s="267" t="s">
        <v>1420</v>
      </c>
      <c r="B38" s="110">
        <v>1</v>
      </c>
      <c r="C38" s="110">
        <v>1</v>
      </c>
      <c r="D38" s="144" t="s">
        <v>918</v>
      </c>
      <c r="E38" s="1540"/>
      <c r="F38" s="1540"/>
      <c r="G38" s="1530"/>
    </row>
    <row r="39" spans="1:7" ht="16.5" customHeight="1">
      <c r="A39" s="267" t="s">
        <v>1422</v>
      </c>
      <c r="B39" s="110">
        <v>4</v>
      </c>
      <c r="C39" s="110">
        <v>4</v>
      </c>
      <c r="D39" s="144" t="s">
        <v>918</v>
      </c>
      <c r="E39" s="1540"/>
      <c r="F39" s="1540"/>
      <c r="G39" s="1530"/>
    </row>
    <row r="40" spans="1:7" ht="16.5" customHeight="1">
      <c r="A40" s="267" t="s">
        <v>1423</v>
      </c>
      <c r="B40" s="110">
        <v>5</v>
      </c>
      <c r="C40" s="110">
        <v>5</v>
      </c>
      <c r="D40" s="144" t="s">
        <v>918</v>
      </c>
      <c r="E40" s="1540"/>
      <c r="F40" s="1540"/>
      <c r="G40" s="1530"/>
    </row>
    <row r="41" spans="1:7" ht="16.5" customHeight="1">
      <c r="A41" s="267" t="s">
        <v>1425</v>
      </c>
      <c r="B41" s="110">
        <v>5</v>
      </c>
      <c r="C41" s="110">
        <v>5</v>
      </c>
      <c r="D41" s="144" t="s">
        <v>918</v>
      </c>
      <c r="E41" s="1540"/>
      <c r="F41" s="1540"/>
      <c r="G41" s="1530"/>
    </row>
    <row r="42" spans="1:7" ht="16.5" customHeight="1">
      <c r="A42" s="267" t="s">
        <v>1426</v>
      </c>
      <c r="B42" s="110">
        <v>4</v>
      </c>
      <c r="C42" s="110">
        <v>4</v>
      </c>
      <c r="D42" s="144" t="s">
        <v>918</v>
      </c>
      <c r="E42" s="1540"/>
      <c r="F42" s="1540"/>
      <c r="G42" s="1530"/>
    </row>
    <row r="43" spans="1:7" ht="16.5" customHeight="1">
      <c r="A43" s="604" t="s">
        <v>1570</v>
      </c>
      <c r="B43" s="110">
        <v>4</v>
      </c>
      <c r="C43" s="110">
        <v>4</v>
      </c>
      <c r="D43" s="144" t="s">
        <v>918</v>
      </c>
      <c r="E43" s="1540"/>
      <c r="F43" s="1540"/>
      <c r="G43" s="1530"/>
    </row>
    <row r="44" spans="1:7" ht="16.5" customHeight="1">
      <c r="A44" s="267" t="s">
        <v>1429</v>
      </c>
      <c r="B44" s="110">
        <v>4</v>
      </c>
      <c r="C44" s="110">
        <v>4</v>
      </c>
      <c r="D44" s="144" t="s">
        <v>918</v>
      </c>
      <c r="E44" s="1540"/>
      <c r="F44" s="1540"/>
      <c r="G44" s="1530"/>
    </row>
    <row r="45" spans="1:7" ht="16.5" customHeight="1">
      <c r="A45" s="305" t="s">
        <v>1427</v>
      </c>
      <c r="B45" s="111">
        <v>1</v>
      </c>
      <c r="C45" s="111">
        <v>2</v>
      </c>
      <c r="D45" s="574" t="s">
        <v>918</v>
      </c>
      <c r="E45" s="1540"/>
      <c r="F45" s="1540"/>
      <c r="G45" s="1530"/>
    </row>
    <row r="46" spans="1:7" ht="12.4" customHeight="1">
      <c r="A46" s="62"/>
      <c r="B46" s="1389" t="s">
        <v>455</v>
      </c>
      <c r="C46" s="2114" t="s">
        <v>71</v>
      </c>
      <c r="D46" s="2114"/>
      <c r="E46" s="1538"/>
      <c r="F46" s="7"/>
    </row>
    <row r="47" spans="1:7" ht="14.25" customHeight="1">
      <c r="A47" s="62"/>
      <c r="B47" s="1389" t="s">
        <v>456</v>
      </c>
      <c r="C47" s="1390" t="s">
        <v>72</v>
      </c>
      <c r="D47" s="1390"/>
      <c r="E47" s="1538"/>
    </row>
    <row r="48" spans="1:7" ht="12.75" customHeight="1">
      <c r="A48" s="62"/>
      <c r="B48" s="228"/>
      <c r="C48" s="1391" t="s">
        <v>160</v>
      </c>
      <c r="D48" s="228"/>
      <c r="E48" s="228"/>
    </row>
    <row r="49" spans="4:5" ht="12.4" customHeight="1">
      <c r="D49" s="10"/>
      <c r="E49" s="10"/>
    </row>
  </sheetData>
  <mergeCells count="4">
    <mergeCell ref="A1:D1"/>
    <mergeCell ref="A2:D2"/>
    <mergeCell ref="C46:D46"/>
    <mergeCell ref="B11:D11"/>
  </mergeCells>
  <phoneticPr fontId="0" type="noConversion"/>
  <printOptions horizontalCentered="1"/>
  <pageMargins left="0.72" right="0.1" top="0.34" bottom="0.1" header="0.25" footer="0.1"/>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1:D126"/>
  <sheetViews>
    <sheetView workbookViewId="0">
      <selection activeCell="C3" sqref="C3"/>
    </sheetView>
  </sheetViews>
  <sheetFormatPr defaultRowHeight="12.75"/>
  <cols>
    <col min="1" max="1" width="4.7109375" customWidth="1"/>
    <col min="2" max="2" width="7.85546875" customWidth="1"/>
    <col min="3" max="3" width="72" customWidth="1"/>
    <col min="4" max="4" width="7" customWidth="1"/>
    <col min="5" max="5" width="2.28515625" customWidth="1"/>
  </cols>
  <sheetData>
    <row r="1" spans="1:4" ht="20.25" customHeight="1">
      <c r="A1" s="1818" t="s">
        <v>151</v>
      </c>
      <c r="B1" s="1818"/>
      <c r="C1" s="1818"/>
      <c r="D1" s="1818"/>
    </row>
    <row r="2" spans="1:4" ht="28.5" customHeight="1">
      <c r="A2" s="928" t="s">
        <v>166</v>
      </c>
      <c r="B2" s="928" t="s">
        <v>243</v>
      </c>
      <c r="C2" s="929" t="s">
        <v>1435</v>
      </c>
      <c r="D2" s="930" t="s">
        <v>446</v>
      </c>
    </row>
    <row r="3" spans="1:4" ht="12.75" customHeight="1">
      <c r="A3" s="72"/>
      <c r="B3" s="186"/>
      <c r="C3" s="1751" t="s">
        <v>1694</v>
      </c>
      <c r="D3" s="99"/>
    </row>
    <row r="4" spans="1:4">
      <c r="A4" s="787">
        <v>1</v>
      </c>
      <c r="B4" s="673" t="s">
        <v>525</v>
      </c>
      <c r="C4" s="1244" t="s">
        <v>1003</v>
      </c>
      <c r="D4" s="86">
        <v>1</v>
      </c>
    </row>
    <row r="5" spans="1:4">
      <c r="A5" s="787">
        <v>2</v>
      </c>
      <c r="B5" s="673" t="s">
        <v>524</v>
      </c>
      <c r="C5" s="1244" t="s">
        <v>1004</v>
      </c>
      <c r="D5" s="86">
        <v>1</v>
      </c>
    </row>
    <row r="6" spans="1:4">
      <c r="A6" s="787">
        <v>3</v>
      </c>
      <c r="B6" s="673" t="s">
        <v>526</v>
      </c>
      <c r="C6" s="1244" t="s">
        <v>572</v>
      </c>
      <c r="D6" s="86">
        <v>2</v>
      </c>
    </row>
    <row r="7" spans="1:4">
      <c r="A7" s="787">
        <v>4</v>
      </c>
      <c r="B7" s="673" t="s">
        <v>527</v>
      </c>
      <c r="C7" s="1244" t="s">
        <v>70</v>
      </c>
      <c r="D7" s="86">
        <v>2</v>
      </c>
    </row>
    <row r="8" spans="1:4" ht="12.75" customHeight="1">
      <c r="A8" s="787"/>
      <c r="B8" s="565"/>
      <c r="C8" s="1751" t="s">
        <v>1695</v>
      </c>
      <c r="D8" s="86"/>
    </row>
    <row r="9" spans="1:4">
      <c r="A9" s="787">
        <v>5</v>
      </c>
      <c r="B9" s="673" t="s">
        <v>528</v>
      </c>
      <c r="C9" s="1244" t="s">
        <v>573</v>
      </c>
      <c r="D9" s="86">
        <v>3</v>
      </c>
    </row>
    <row r="10" spans="1:4">
      <c r="A10" s="787">
        <v>6</v>
      </c>
      <c r="B10" s="565" t="s">
        <v>416</v>
      </c>
      <c r="C10" s="1244" t="s">
        <v>236</v>
      </c>
      <c r="D10" s="86">
        <v>4</v>
      </c>
    </row>
    <row r="11" spans="1:4">
      <c r="A11" s="787">
        <v>7</v>
      </c>
      <c r="B11" s="565" t="s">
        <v>871</v>
      </c>
      <c r="C11" s="1244" t="s">
        <v>570</v>
      </c>
      <c r="D11" s="86">
        <v>4</v>
      </c>
    </row>
    <row r="12" spans="1:4">
      <c r="A12" s="787">
        <v>8</v>
      </c>
      <c r="B12" s="673" t="s">
        <v>529</v>
      </c>
      <c r="C12" s="1244" t="s">
        <v>592</v>
      </c>
      <c r="D12" s="86">
        <v>5</v>
      </c>
    </row>
    <row r="13" spans="1:4">
      <c r="A13" s="787">
        <v>9</v>
      </c>
      <c r="B13" s="673" t="s">
        <v>530</v>
      </c>
      <c r="C13" s="1244" t="s">
        <v>574</v>
      </c>
      <c r="D13" s="86">
        <v>6</v>
      </c>
    </row>
    <row r="14" spans="1:4">
      <c r="A14" s="787">
        <v>10</v>
      </c>
      <c r="B14" s="565" t="s">
        <v>417</v>
      </c>
      <c r="C14" s="1244" t="s">
        <v>591</v>
      </c>
      <c r="D14" s="86">
        <v>7</v>
      </c>
    </row>
    <row r="15" spans="1:4">
      <c r="A15" s="787">
        <v>11</v>
      </c>
      <c r="B15" s="565" t="s">
        <v>418</v>
      </c>
      <c r="C15" s="1244" t="s">
        <v>654</v>
      </c>
      <c r="D15" s="86">
        <v>8</v>
      </c>
    </row>
    <row r="16" spans="1:4">
      <c r="A16" s="787">
        <v>12</v>
      </c>
      <c r="B16" s="565" t="s">
        <v>424</v>
      </c>
      <c r="C16" s="1244" t="s">
        <v>575</v>
      </c>
      <c r="D16" s="86">
        <v>9</v>
      </c>
    </row>
    <row r="17" spans="1:4">
      <c r="A17" s="787">
        <v>13</v>
      </c>
      <c r="B17" s="565" t="s">
        <v>425</v>
      </c>
      <c r="C17" s="1244" t="s">
        <v>655</v>
      </c>
      <c r="D17" s="86">
        <v>10</v>
      </c>
    </row>
    <row r="18" spans="1:4">
      <c r="A18" s="787">
        <v>14</v>
      </c>
      <c r="B18" s="673" t="s">
        <v>531</v>
      </c>
      <c r="C18" s="1244" t="s">
        <v>1249</v>
      </c>
      <c r="D18" s="86">
        <v>11</v>
      </c>
    </row>
    <row r="19" spans="1:4">
      <c r="A19" s="787">
        <v>15</v>
      </c>
      <c r="B19" s="673" t="s">
        <v>532</v>
      </c>
      <c r="C19" s="1245" t="s">
        <v>612</v>
      </c>
      <c r="D19" s="86">
        <v>12</v>
      </c>
    </row>
    <row r="20" spans="1:4">
      <c r="A20" s="787">
        <v>16</v>
      </c>
      <c r="B20" s="673" t="s">
        <v>533</v>
      </c>
      <c r="C20" s="1245" t="s">
        <v>576</v>
      </c>
      <c r="D20" s="86">
        <v>14</v>
      </c>
    </row>
    <row r="21" spans="1:4">
      <c r="A21" s="787">
        <v>17</v>
      </c>
      <c r="B21" s="673" t="s">
        <v>534</v>
      </c>
      <c r="C21" s="1244" t="s">
        <v>135</v>
      </c>
      <c r="D21" s="86">
        <v>15</v>
      </c>
    </row>
    <row r="22" spans="1:4">
      <c r="A22" s="787">
        <v>18</v>
      </c>
      <c r="B22" s="673" t="s">
        <v>535</v>
      </c>
      <c r="C22" s="1244" t="s">
        <v>1010</v>
      </c>
      <c r="D22" s="86">
        <v>16</v>
      </c>
    </row>
    <row r="23" spans="1:4">
      <c r="A23" s="787">
        <v>19</v>
      </c>
      <c r="B23" s="565" t="s">
        <v>522</v>
      </c>
      <c r="C23" s="1244" t="s">
        <v>571</v>
      </c>
      <c r="D23" s="86">
        <v>17</v>
      </c>
    </row>
    <row r="24" spans="1:4">
      <c r="A24" s="787">
        <v>20</v>
      </c>
      <c r="B24" s="673" t="s">
        <v>536</v>
      </c>
      <c r="C24" s="1244" t="s">
        <v>577</v>
      </c>
      <c r="D24" s="86">
        <v>19</v>
      </c>
    </row>
    <row r="25" spans="1:4" ht="12.75" customHeight="1">
      <c r="A25" s="787"/>
      <c r="B25" s="565"/>
      <c r="C25" s="1751" t="s">
        <v>1696</v>
      </c>
      <c r="D25" s="86"/>
    </row>
    <row r="26" spans="1:4">
      <c r="A26" s="787">
        <v>21</v>
      </c>
      <c r="B26" s="673" t="s">
        <v>537</v>
      </c>
      <c r="C26" s="1244" t="s">
        <v>578</v>
      </c>
      <c r="D26" s="86">
        <v>20</v>
      </c>
    </row>
    <row r="27" spans="1:4">
      <c r="A27" s="787">
        <v>22</v>
      </c>
      <c r="B27" s="673" t="s">
        <v>538</v>
      </c>
      <c r="C27" s="1244" t="s">
        <v>291</v>
      </c>
      <c r="D27" s="86">
        <v>22</v>
      </c>
    </row>
    <row r="28" spans="1:4">
      <c r="A28" s="787">
        <v>23</v>
      </c>
      <c r="B28" s="565" t="s">
        <v>523</v>
      </c>
      <c r="C28" s="1244" t="s">
        <v>1011</v>
      </c>
      <c r="D28" s="86">
        <v>24</v>
      </c>
    </row>
    <row r="29" spans="1:4">
      <c r="A29" s="787">
        <v>24</v>
      </c>
      <c r="B29" s="673" t="s">
        <v>539</v>
      </c>
      <c r="C29" s="1244" t="s">
        <v>1173</v>
      </c>
      <c r="D29" s="86">
        <v>25</v>
      </c>
    </row>
    <row r="30" spans="1:4">
      <c r="A30" s="787">
        <v>25</v>
      </c>
      <c r="B30" s="565" t="s">
        <v>1585</v>
      </c>
      <c r="C30" s="1244" t="s">
        <v>1172</v>
      </c>
      <c r="D30" s="86">
        <v>26</v>
      </c>
    </row>
    <row r="31" spans="1:4" ht="12.75" customHeight="1">
      <c r="A31" s="787"/>
      <c r="B31" s="565"/>
      <c r="C31" s="1751" t="s">
        <v>1697</v>
      </c>
      <c r="D31" s="86"/>
    </row>
    <row r="32" spans="1:4">
      <c r="A32" s="787">
        <v>26</v>
      </c>
      <c r="B32" s="565" t="s">
        <v>874</v>
      </c>
      <c r="C32" s="1244" t="s">
        <v>94</v>
      </c>
      <c r="D32" s="86">
        <v>27</v>
      </c>
    </row>
    <row r="33" spans="1:4">
      <c r="A33" s="787">
        <v>27</v>
      </c>
      <c r="B33" s="565" t="s">
        <v>894</v>
      </c>
      <c r="C33" s="1244" t="s">
        <v>95</v>
      </c>
      <c r="D33" s="86">
        <v>28</v>
      </c>
    </row>
    <row r="34" spans="1:4">
      <c r="A34" s="787">
        <v>28</v>
      </c>
      <c r="B34" s="565" t="s">
        <v>875</v>
      </c>
      <c r="C34" s="1244" t="s">
        <v>96</v>
      </c>
      <c r="D34" s="86">
        <v>29</v>
      </c>
    </row>
    <row r="35" spans="1:4">
      <c r="A35" s="787">
        <v>29</v>
      </c>
      <c r="B35" s="565" t="s">
        <v>876</v>
      </c>
      <c r="C35" s="1244" t="s">
        <v>371</v>
      </c>
      <c r="D35" s="86">
        <v>30</v>
      </c>
    </row>
    <row r="36" spans="1:4">
      <c r="A36" s="787">
        <v>30</v>
      </c>
      <c r="B36" s="565" t="s">
        <v>877</v>
      </c>
      <c r="C36" s="1244" t="s">
        <v>373</v>
      </c>
      <c r="D36" s="86">
        <v>31</v>
      </c>
    </row>
    <row r="37" spans="1:4">
      <c r="A37" s="787">
        <v>31</v>
      </c>
      <c r="B37" s="565" t="s">
        <v>878</v>
      </c>
      <c r="C37" s="1244" t="s">
        <v>376</v>
      </c>
      <c r="D37" s="86">
        <v>32</v>
      </c>
    </row>
    <row r="38" spans="1:4">
      <c r="A38" s="787">
        <v>32</v>
      </c>
      <c r="B38" s="565" t="s">
        <v>879</v>
      </c>
      <c r="C38" s="1244" t="s">
        <v>1012</v>
      </c>
      <c r="D38" s="86">
        <v>33</v>
      </c>
    </row>
    <row r="39" spans="1:4">
      <c r="A39" s="787">
        <v>33</v>
      </c>
      <c r="B39" s="565" t="s">
        <v>880</v>
      </c>
      <c r="C39" s="1244" t="s">
        <v>377</v>
      </c>
      <c r="D39" s="86">
        <v>34</v>
      </c>
    </row>
    <row r="40" spans="1:4">
      <c r="A40" s="787">
        <v>34</v>
      </c>
      <c r="B40" s="565" t="s">
        <v>881</v>
      </c>
      <c r="C40" s="1244" t="s">
        <v>392</v>
      </c>
      <c r="D40" s="86">
        <v>35</v>
      </c>
    </row>
    <row r="41" spans="1:4">
      <c r="A41" s="787">
        <v>35</v>
      </c>
      <c r="B41" s="673" t="s">
        <v>820</v>
      </c>
      <c r="C41" s="1244" t="s">
        <v>1174</v>
      </c>
      <c r="D41" s="86">
        <v>36</v>
      </c>
    </row>
    <row r="42" spans="1:4">
      <c r="A42" s="787">
        <v>36</v>
      </c>
      <c r="B42" s="673" t="s">
        <v>821</v>
      </c>
      <c r="C42" s="1244" t="s">
        <v>1643</v>
      </c>
      <c r="D42" s="86">
        <v>38</v>
      </c>
    </row>
    <row r="43" spans="1:4">
      <c r="A43" s="787">
        <v>37</v>
      </c>
      <c r="B43" s="673" t="s">
        <v>822</v>
      </c>
      <c r="C43" s="1244" t="s">
        <v>91</v>
      </c>
      <c r="D43" s="86">
        <v>39</v>
      </c>
    </row>
    <row r="44" spans="1:4">
      <c r="A44" s="787">
        <v>38</v>
      </c>
      <c r="B44" s="673" t="s">
        <v>823</v>
      </c>
      <c r="C44" s="1244" t="s">
        <v>1013</v>
      </c>
      <c r="D44" s="86">
        <v>40</v>
      </c>
    </row>
    <row r="45" spans="1:4">
      <c r="A45" s="787">
        <v>39</v>
      </c>
      <c r="B45" s="673" t="s">
        <v>824</v>
      </c>
      <c r="C45" s="1244" t="s">
        <v>1014</v>
      </c>
      <c r="D45" s="86">
        <v>41</v>
      </c>
    </row>
    <row r="46" spans="1:4" ht="12.75" customHeight="1">
      <c r="A46" s="787"/>
      <c r="B46" s="565"/>
      <c r="C46" s="1751" t="s">
        <v>1698</v>
      </c>
      <c r="D46" s="86"/>
    </row>
    <row r="47" spans="1:4">
      <c r="A47" s="787">
        <v>40</v>
      </c>
      <c r="B47" s="565">
        <v>5.0999999999999996</v>
      </c>
      <c r="C47" s="1244" t="s">
        <v>92</v>
      </c>
      <c r="D47" s="86">
        <v>42</v>
      </c>
    </row>
    <row r="48" spans="1:4">
      <c r="A48" s="787">
        <v>41</v>
      </c>
      <c r="B48" s="565" t="s">
        <v>830</v>
      </c>
      <c r="C48" s="1244" t="s">
        <v>1248</v>
      </c>
      <c r="D48" s="86">
        <v>42</v>
      </c>
    </row>
    <row r="49" spans="1:4">
      <c r="A49" s="787">
        <v>42</v>
      </c>
      <c r="B49" s="565" t="s">
        <v>831</v>
      </c>
      <c r="C49" s="1244" t="s">
        <v>93</v>
      </c>
      <c r="D49" s="86">
        <v>43</v>
      </c>
    </row>
    <row r="50" spans="1:4">
      <c r="A50" s="787">
        <v>43</v>
      </c>
      <c r="B50" s="565">
        <v>5.2</v>
      </c>
      <c r="C50" s="1244" t="s">
        <v>579</v>
      </c>
      <c r="D50" s="86">
        <v>43</v>
      </c>
    </row>
    <row r="51" spans="1:4">
      <c r="A51" s="787">
        <v>44</v>
      </c>
      <c r="B51" s="565">
        <v>5.3</v>
      </c>
      <c r="C51" s="1244" t="s">
        <v>580</v>
      </c>
      <c r="D51" s="86">
        <v>44</v>
      </c>
    </row>
    <row r="52" spans="1:4">
      <c r="A52" s="787">
        <v>45</v>
      </c>
      <c r="B52" s="565" t="s">
        <v>834</v>
      </c>
      <c r="C52" s="1244" t="s">
        <v>581</v>
      </c>
      <c r="D52" s="86">
        <v>45</v>
      </c>
    </row>
    <row r="53" spans="1:4">
      <c r="A53" s="787">
        <v>46</v>
      </c>
      <c r="B53" s="565" t="s">
        <v>848</v>
      </c>
      <c r="C53" s="1244" t="s">
        <v>583</v>
      </c>
      <c r="D53" s="86">
        <v>46</v>
      </c>
    </row>
    <row r="54" spans="1:4">
      <c r="A54" s="787">
        <v>47</v>
      </c>
      <c r="B54" s="565" t="s">
        <v>849</v>
      </c>
      <c r="C54" s="1244" t="s">
        <v>1197</v>
      </c>
      <c r="D54" s="86">
        <v>46</v>
      </c>
    </row>
    <row r="55" spans="1:4">
      <c r="A55" s="787">
        <v>48</v>
      </c>
      <c r="B55" s="565" t="s">
        <v>850</v>
      </c>
      <c r="C55" s="1244" t="s">
        <v>97</v>
      </c>
      <c r="D55" s="86">
        <v>47</v>
      </c>
    </row>
    <row r="56" spans="1:4">
      <c r="A56" s="787">
        <v>49</v>
      </c>
      <c r="B56" s="565" t="s">
        <v>851</v>
      </c>
      <c r="C56" s="1244" t="s">
        <v>852</v>
      </c>
      <c r="D56" s="86">
        <v>48</v>
      </c>
    </row>
    <row r="57" spans="1:4">
      <c r="A57" s="787">
        <v>50</v>
      </c>
      <c r="B57" s="565">
        <v>5.4</v>
      </c>
      <c r="C57" s="1244" t="s">
        <v>98</v>
      </c>
      <c r="D57" s="86">
        <v>49</v>
      </c>
    </row>
    <row r="58" spans="1:4">
      <c r="A58" s="787">
        <v>51</v>
      </c>
      <c r="B58" s="565">
        <v>5.5</v>
      </c>
      <c r="C58" s="1244" t="s">
        <v>584</v>
      </c>
      <c r="D58" s="86">
        <v>50</v>
      </c>
    </row>
    <row r="59" spans="1:4">
      <c r="A59" s="787">
        <v>52</v>
      </c>
      <c r="B59" s="565" t="s">
        <v>855</v>
      </c>
      <c r="C59" s="1244" t="s">
        <v>585</v>
      </c>
      <c r="D59" s="86">
        <v>50</v>
      </c>
    </row>
    <row r="60" spans="1:4">
      <c r="A60" s="787">
        <v>53</v>
      </c>
      <c r="B60" s="565">
        <v>5.6</v>
      </c>
      <c r="C60" s="1244" t="s">
        <v>586</v>
      </c>
      <c r="D60" s="86">
        <v>51</v>
      </c>
    </row>
    <row r="61" spans="1:4">
      <c r="A61" s="787">
        <v>54</v>
      </c>
      <c r="B61" s="565">
        <v>5.7</v>
      </c>
      <c r="C61" s="1244" t="s">
        <v>587</v>
      </c>
      <c r="D61" s="86">
        <v>51</v>
      </c>
    </row>
    <row r="62" spans="1:4">
      <c r="A62" s="1249">
        <v>55</v>
      </c>
      <c r="B62" s="672">
        <v>5.8</v>
      </c>
      <c r="C62" s="1246" t="s">
        <v>588</v>
      </c>
      <c r="D62" s="87">
        <v>51</v>
      </c>
    </row>
    <row r="63" spans="1:4" s="7" customFormat="1">
      <c r="A63" s="1820" t="s">
        <v>795</v>
      </c>
      <c r="B63" s="1820"/>
      <c r="C63" s="1820"/>
      <c r="D63" s="1155" t="s">
        <v>444</v>
      </c>
    </row>
    <row r="64" spans="1:4" s="7" customFormat="1">
      <c r="A64" s="35"/>
      <c r="B64" s="35"/>
      <c r="C64" s="35"/>
      <c r="D64" s="1155"/>
    </row>
    <row r="65" spans="1:4" s="7" customFormat="1" ht="21" customHeight="1">
      <c r="A65" s="1818" t="s">
        <v>445</v>
      </c>
      <c r="B65" s="1818"/>
      <c r="C65" s="1818"/>
      <c r="D65" s="1818"/>
    </row>
    <row r="66" spans="1:4" s="7" customFormat="1" ht="29.25" customHeight="1">
      <c r="A66" s="928" t="s">
        <v>166</v>
      </c>
      <c r="B66" s="928" t="s">
        <v>243</v>
      </c>
      <c r="C66" s="929" t="s">
        <v>1435</v>
      </c>
      <c r="D66" s="930" t="s">
        <v>446</v>
      </c>
    </row>
    <row r="67" spans="1:4" ht="12.75" customHeight="1">
      <c r="A67" s="185"/>
      <c r="B67" s="565"/>
      <c r="C67" s="1751" t="s">
        <v>1699</v>
      </c>
      <c r="D67" s="86"/>
    </row>
    <row r="68" spans="1:4">
      <c r="A68" s="787">
        <v>56</v>
      </c>
      <c r="B68" s="565">
        <v>6.1</v>
      </c>
      <c r="C68" s="1244" t="s">
        <v>593</v>
      </c>
      <c r="D68" s="86">
        <v>52</v>
      </c>
    </row>
    <row r="69" spans="1:4" s="7" customFormat="1">
      <c r="A69" s="787">
        <v>57</v>
      </c>
      <c r="B69" s="565">
        <v>6.2</v>
      </c>
      <c r="C69" s="1244" t="s">
        <v>100</v>
      </c>
      <c r="D69" s="86">
        <v>53</v>
      </c>
    </row>
    <row r="70" spans="1:4" ht="12.75" customHeight="1">
      <c r="A70" s="787"/>
      <c r="B70" s="872"/>
      <c r="C70" s="1751" t="s">
        <v>1700</v>
      </c>
      <c r="D70" s="56"/>
    </row>
    <row r="71" spans="1:4">
      <c r="A71" s="787">
        <v>58</v>
      </c>
      <c r="B71" s="565">
        <v>7.1</v>
      </c>
      <c r="C71" s="1244" t="s">
        <v>589</v>
      </c>
      <c r="D71" s="86">
        <v>54</v>
      </c>
    </row>
    <row r="72" spans="1:4">
      <c r="A72" s="787">
        <v>59</v>
      </c>
      <c r="B72" s="565">
        <v>7.2</v>
      </c>
      <c r="C72" s="1244" t="s">
        <v>1015</v>
      </c>
      <c r="D72" s="86">
        <v>55</v>
      </c>
    </row>
    <row r="73" spans="1:4">
      <c r="A73" s="787">
        <v>60</v>
      </c>
      <c r="B73" s="565">
        <v>7.3</v>
      </c>
      <c r="C73" s="1244" t="s">
        <v>434</v>
      </c>
      <c r="D73" s="86">
        <v>55</v>
      </c>
    </row>
    <row r="74" spans="1:4" ht="12.75" customHeight="1">
      <c r="A74" s="787"/>
      <c r="B74" s="565"/>
      <c r="C74" s="1751" t="s">
        <v>1701</v>
      </c>
      <c r="D74" s="86"/>
    </row>
    <row r="75" spans="1:4">
      <c r="A75" s="787">
        <v>61</v>
      </c>
      <c r="B75" s="565">
        <v>8.1</v>
      </c>
      <c r="C75" s="1244" t="s">
        <v>562</v>
      </c>
      <c r="D75" s="86">
        <v>56</v>
      </c>
    </row>
    <row r="76" spans="1:4">
      <c r="A76" s="787">
        <v>62</v>
      </c>
      <c r="B76" s="565">
        <v>8.1999999999999993</v>
      </c>
      <c r="C76" s="1244" t="s">
        <v>590</v>
      </c>
      <c r="D76" s="86">
        <v>57</v>
      </c>
    </row>
    <row r="77" spans="1:4">
      <c r="A77" s="787">
        <v>63</v>
      </c>
      <c r="B77" s="565" t="s">
        <v>857</v>
      </c>
      <c r="C77" s="1244" t="s">
        <v>565</v>
      </c>
      <c r="D77" s="86">
        <v>58</v>
      </c>
    </row>
    <row r="78" spans="1:4">
      <c r="A78" s="787">
        <v>64</v>
      </c>
      <c r="B78" s="565">
        <v>8.3000000000000007</v>
      </c>
      <c r="C78" s="1244" t="s">
        <v>594</v>
      </c>
      <c r="D78" s="86">
        <v>59</v>
      </c>
    </row>
    <row r="79" spans="1:4">
      <c r="A79" s="787">
        <v>65</v>
      </c>
      <c r="B79" s="565">
        <v>8.4</v>
      </c>
      <c r="C79" s="1244" t="s">
        <v>566</v>
      </c>
      <c r="D79" s="86">
        <v>61</v>
      </c>
    </row>
    <row r="80" spans="1:4" ht="12.75" customHeight="1">
      <c r="A80" s="787"/>
      <c r="B80" s="565"/>
      <c r="C80" s="1751" t="s">
        <v>1702</v>
      </c>
      <c r="D80" s="86"/>
    </row>
    <row r="81" spans="1:4">
      <c r="A81" s="787">
        <v>66</v>
      </c>
      <c r="B81" s="565">
        <v>9.1</v>
      </c>
      <c r="C81" s="1244" t="s">
        <v>567</v>
      </c>
      <c r="D81" s="86">
        <v>62</v>
      </c>
    </row>
    <row r="82" spans="1:4">
      <c r="A82" s="787">
        <v>67</v>
      </c>
      <c r="B82" s="565">
        <v>9.1999999999999993</v>
      </c>
      <c r="C82" s="1244" t="s">
        <v>680</v>
      </c>
      <c r="D82" s="86">
        <v>63</v>
      </c>
    </row>
    <row r="83" spans="1:4">
      <c r="A83" s="787">
        <v>68</v>
      </c>
      <c r="B83" s="565" t="s">
        <v>858</v>
      </c>
      <c r="C83" s="1244" t="s">
        <v>681</v>
      </c>
      <c r="D83" s="86">
        <v>63</v>
      </c>
    </row>
    <row r="84" spans="1:4">
      <c r="A84" s="787">
        <v>69</v>
      </c>
      <c r="B84" s="565" t="s">
        <v>859</v>
      </c>
      <c r="C84" s="1244" t="s">
        <v>683</v>
      </c>
      <c r="D84" s="86">
        <v>63</v>
      </c>
    </row>
    <row r="85" spans="1:4" ht="12.75" customHeight="1">
      <c r="A85" s="787"/>
      <c r="B85" s="565"/>
      <c r="C85" s="1751" t="s">
        <v>1703</v>
      </c>
      <c r="D85" s="86"/>
    </row>
    <row r="86" spans="1:4">
      <c r="A86" s="787">
        <v>70</v>
      </c>
      <c r="B86" s="565">
        <v>10.1</v>
      </c>
      <c r="C86" s="1244" t="s">
        <v>682</v>
      </c>
      <c r="D86" s="86">
        <v>64</v>
      </c>
    </row>
    <row r="87" spans="1:4">
      <c r="A87" s="787">
        <v>71</v>
      </c>
      <c r="B87" s="565">
        <v>10.199999999999999</v>
      </c>
      <c r="C87" s="1244" t="s">
        <v>568</v>
      </c>
      <c r="D87" s="86">
        <v>64</v>
      </c>
    </row>
    <row r="88" spans="1:4">
      <c r="A88" s="787">
        <v>72</v>
      </c>
      <c r="B88" s="565">
        <v>10.3</v>
      </c>
      <c r="C88" s="1244" t="s">
        <v>66</v>
      </c>
      <c r="D88" s="86">
        <v>65</v>
      </c>
    </row>
    <row r="89" spans="1:4" ht="12.75" customHeight="1">
      <c r="A89" s="787"/>
      <c r="B89" s="565"/>
      <c r="C89" s="1751" t="s">
        <v>1704</v>
      </c>
      <c r="D89" s="86"/>
    </row>
    <row r="90" spans="1:4">
      <c r="A90" s="787">
        <v>73</v>
      </c>
      <c r="B90" s="565">
        <v>11.1</v>
      </c>
      <c r="C90" s="1244" t="s">
        <v>684</v>
      </c>
      <c r="D90" s="86">
        <v>66</v>
      </c>
    </row>
    <row r="91" spans="1:4">
      <c r="A91" s="787">
        <v>74</v>
      </c>
      <c r="B91" s="565" t="s">
        <v>860</v>
      </c>
      <c r="C91" s="1244" t="s">
        <v>685</v>
      </c>
      <c r="D91" s="86">
        <v>67</v>
      </c>
    </row>
    <row r="92" spans="1:4" ht="12.75" customHeight="1">
      <c r="A92" s="787">
        <v>75</v>
      </c>
      <c r="B92" s="565">
        <v>11.2</v>
      </c>
      <c r="C92" s="1247" t="s">
        <v>686</v>
      </c>
      <c r="D92" s="86">
        <v>67</v>
      </c>
    </row>
    <row r="93" spans="1:4">
      <c r="A93" s="787">
        <v>76</v>
      </c>
      <c r="B93" s="565">
        <v>11.3</v>
      </c>
      <c r="C93" s="1244" t="s">
        <v>687</v>
      </c>
      <c r="D93" s="86">
        <v>68</v>
      </c>
    </row>
    <row r="94" spans="1:4">
      <c r="A94" s="787">
        <v>77</v>
      </c>
      <c r="B94" s="565">
        <v>11.4</v>
      </c>
      <c r="C94" s="1244" t="s">
        <v>67</v>
      </c>
      <c r="D94" s="86">
        <v>68</v>
      </c>
    </row>
    <row r="95" spans="1:4" ht="12.75" customHeight="1">
      <c r="A95" s="787"/>
      <c r="B95" s="565"/>
      <c r="C95" s="1751" t="s">
        <v>1705</v>
      </c>
      <c r="D95" s="86"/>
    </row>
    <row r="96" spans="1:4">
      <c r="A96" s="787">
        <v>78</v>
      </c>
      <c r="B96" s="565">
        <v>12.1</v>
      </c>
      <c r="C96" s="1244" t="s">
        <v>99</v>
      </c>
      <c r="D96" s="86">
        <v>69</v>
      </c>
    </row>
    <row r="97" spans="1:4">
      <c r="A97" s="787">
        <v>79</v>
      </c>
      <c r="B97" s="565">
        <v>12.2</v>
      </c>
      <c r="C97" s="1244" t="s">
        <v>688</v>
      </c>
      <c r="D97" s="86">
        <v>69</v>
      </c>
    </row>
    <row r="98" spans="1:4">
      <c r="A98" s="787">
        <v>80</v>
      </c>
      <c r="B98" s="565">
        <v>12.3</v>
      </c>
      <c r="C98" s="1244" t="s">
        <v>1250</v>
      </c>
      <c r="D98" s="86">
        <v>70</v>
      </c>
    </row>
    <row r="99" spans="1:4">
      <c r="A99" s="787">
        <v>81</v>
      </c>
      <c r="B99" s="565">
        <v>12.4</v>
      </c>
      <c r="C99" s="1248" t="s">
        <v>693</v>
      </c>
      <c r="D99" s="86">
        <v>70</v>
      </c>
    </row>
    <row r="100" spans="1:4">
      <c r="A100" s="787">
        <v>82</v>
      </c>
      <c r="B100" s="565">
        <v>12.5</v>
      </c>
      <c r="C100" s="1244" t="s">
        <v>689</v>
      </c>
      <c r="D100" s="86">
        <v>71</v>
      </c>
    </row>
    <row r="101" spans="1:4">
      <c r="A101" s="787">
        <v>83</v>
      </c>
      <c r="B101" s="565">
        <v>12.6</v>
      </c>
      <c r="C101" s="1244" t="s">
        <v>68</v>
      </c>
      <c r="D101" s="86">
        <v>71</v>
      </c>
    </row>
    <row r="102" spans="1:4">
      <c r="A102" s="787">
        <v>84</v>
      </c>
      <c r="B102" s="565">
        <v>12.7</v>
      </c>
      <c r="C102" s="1244" t="s">
        <v>861</v>
      </c>
      <c r="D102" s="86">
        <v>71</v>
      </c>
    </row>
    <row r="103" spans="1:4" ht="12.75" customHeight="1">
      <c r="A103" s="787"/>
      <c r="B103" s="565"/>
      <c r="C103" s="1751" t="s">
        <v>1706</v>
      </c>
      <c r="D103" s="86"/>
    </row>
    <row r="104" spans="1:4">
      <c r="A104" s="787">
        <v>85</v>
      </c>
      <c r="B104" s="565">
        <v>13.1</v>
      </c>
      <c r="C104" s="1244" t="s">
        <v>690</v>
      </c>
      <c r="D104" s="86">
        <v>72</v>
      </c>
    </row>
    <row r="105" spans="1:4">
      <c r="A105" s="787">
        <v>86</v>
      </c>
      <c r="B105" s="565">
        <v>13.2</v>
      </c>
      <c r="C105" s="1244" t="s">
        <v>1017</v>
      </c>
      <c r="D105" s="86">
        <v>73</v>
      </c>
    </row>
    <row r="106" spans="1:4">
      <c r="A106" s="787">
        <v>87</v>
      </c>
      <c r="B106" s="565">
        <v>13.3</v>
      </c>
      <c r="C106" s="1244" t="s">
        <v>69</v>
      </c>
      <c r="D106" s="86">
        <v>73</v>
      </c>
    </row>
    <row r="107" spans="1:4" ht="12.75" customHeight="1">
      <c r="A107" s="787"/>
      <c r="B107" s="565"/>
      <c r="C107" s="1751" t="s">
        <v>1707</v>
      </c>
      <c r="D107" s="86"/>
    </row>
    <row r="108" spans="1:4">
      <c r="A108" s="787">
        <v>88</v>
      </c>
      <c r="B108" s="565">
        <v>14.1</v>
      </c>
      <c r="C108" s="1244" t="s">
        <v>627</v>
      </c>
      <c r="D108" s="86">
        <v>74</v>
      </c>
    </row>
    <row r="109" spans="1:4">
      <c r="A109" s="787">
        <v>89</v>
      </c>
      <c r="B109" s="565">
        <v>14.2</v>
      </c>
      <c r="C109" s="1244" t="s">
        <v>1018</v>
      </c>
      <c r="D109" s="86">
        <v>74</v>
      </c>
    </row>
    <row r="110" spans="1:4" ht="12.75" customHeight="1">
      <c r="A110" s="787"/>
      <c r="B110" s="565"/>
      <c r="C110" s="1751" t="s">
        <v>1708</v>
      </c>
      <c r="D110" s="86"/>
    </row>
    <row r="111" spans="1:4">
      <c r="A111" s="787">
        <v>90</v>
      </c>
      <c r="B111" s="565">
        <v>15.1</v>
      </c>
      <c r="C111" s="1244" t="s">
        <v>1301</v>
      </c>
      <c r="D111" s="86">
        <v>75</v>
      </c>
    </row>
    <row r="112" spans="1:4">
      <c r="A112" s="787">
        <v>91</v>
      </c>
      <c r="B112" s="565">
        <v>15.2</v>
      </c>
      <c r="C112" s="1244" t="s">
        <v>691</v>
      </c>
      <c r="D112" s="86">
        <v>76</v>
      </c>
    </row>
    <row r="113" spans="1:4" ht="12.75" customHeight="1">
      <c r="A113" s="787"/>
      <c r="B113" s="565"/>
      <c r="C113" s="1751" t="s">
        <v>1709</v>
      </c>
      <c r="D113" s="86"/>
    </row>
    <row r="114" spans="1:4">
      <c r="A114" s="787">
        <v>92</v>
      </c>
      <c r="B114" s="565">
        <v>16.100000000000001</v>
      </c>
      <c r="C114" s="1244" t="s">
        <v>692</v>
      </c>
      <c r="D114" s="86">
        <v>79</v>
      </c>
    </row>
    <row r="115" spans="1:4">
      <c r="A115" s="787">
        <v>93</v>
      </c>
      <c r="B115" s="565">
        <v>17.100000000000001</v>
      </c>
      <c r="C115" s="1244" t="s">
        <v>1019</v>
      </c>
      <c r="D115" s="86">
        <v>80</v>
      </c>
    </row>
    <row r="116" spans="1:4">
      <c r="A116" s="787">
        <v>94</v>
      </c>
      <c r="B116" s="565">
        <v>17.2</v>
      </c>
      <c r="C116" s="1244" t="s">
        <v>694</v>
      </c>
      <c r="D116" s="86">
        <v>81</v>
      </c>
    </row>
    <row r="117" spans="1:4">
      <c r="A117" s="787">
        <v>95</v>
      </c>
      <c r="B117" s="565">
        <v>18.100000000000001</v>
      </c>
      <c r="C117" s="1244" t="s">
        <v>1198</v>
      </c>
      <c r="D117" s="86">
        <v>82</v>
      </c>
    </row>
    <row r="118" spans="1:4">
      <c r="A118" s="787">
        <v>96</v>
      </c>
      <c r="B118" s="565">
        <v>18.2</v>
      </c>
      <c r="C118" s="1244" t="s">
        <v>698</v>
      </c>
      <c r="D118" s="86">
        <v>85</v>
      </c>
    </row>
    <row r="119" spans="1:4">
      <c r="A119" s="787">
        <v>97</v>
      </c>
      <c r="B119" s="565">
        <v>18.3</v>
      </c>
      <c r="C119" s="1244" t="s">
        <v>695</v>
      </c>
      <c r="D119" s="86">
        <v>86</v>
      </c>
    </row>
    <row r="120" spans="1:4">
      <c r="A120" s="787">
        <v>98</v>
      </c>
      <c r="B120" s="565">
        <v>19.100000000000001</v>
      </c>
      <c r="C120" s="1244" t="s">
        <v>1247</v>
      </c>
      <c r="D120" s="86">
        <v>87</v>
      </c>
    </row>
    <row r="121" spans="1:4">
      <c r="A121" s="787">
        <v>99</v>
      </c>
      <c r="B121" s="565">
        <v>20.100000000000001</v>
      </c>
      <c r="C121" s="1244" t="s">
        <v>1020</v>
      </c>
      <c r="D121" s="86">
        <v>88</v>
      </c>
    </row>
    <row r="122" spans="1:4">
      <c r="A122" s="787">
        <v>100</v>
      </c>
      <c r="B122" s="565">
        <v>20.2</v>
      </c>
      <c r="C122" s="1244" t="s">
        <v>873</v>
      </c>
      <c r="D122" s="86">
        <v>89</v>
      </c>
    </row>
    <row r="123" spans="1:4">
      <c r="A123" s="787">
        <v>101</v>
      </c>
      <c r="B123" s="565">
        <v>21.1</v>
      </c>
      <c r="C123" s="1244" t="s">
        <v>696</v>
      </c>
      <c r="D123" s="86">
        <v>90</v>
      </c>
    </row>
    <row r="124" spans="1:4">
      <c r="A124" s="1249">
        <v>102</v>
      </c>
      <c r="B124" s="672">
        <v>21.2</v>
      </c>
      <c r="C124" s="1246" t="s">
        <v>697</v>
      </c>
      <c r="D124" s="87">
        <v>91</v>
      </c>
    </row>
    <row r="126" spans="1:4">
      <c r="A126" s="1819" t="s">
        <v>1311</v>
      </c>
      <c r="B126" s="1819"/>
      <c r="C126" s="1819"/>
      <c r="D126" s="1819"/>
    </row>
  </sheetData>
  <mergeCells count="4">
    <mergeCell ref="A1:D1"/>
    <mergeCell ref="A65:D65"/>
    <mergeCell ref="A126:D126"/>
    <mergeCell ref="A63:C63"/>
  </mergeCells>
  <phoneticPr fontId="0" type="noConversion"/>
  <printOptions horizontalCentered="1"/>
  <pageMargins left="0.65" right="0.56999999999999995" top="0.32" bottom="0" header="0.36" footer="0.5"/>
  <pageSetup paperSize="9" orientation="portrait" blackAndWhite="1" horizontalDpi="4294967295" verticalDpi="144" r:id="rId1"/>
  <headerFooter alignWithMargins="0"/>
</worksheet>
</file>

<file path=xl/worksheets/sheet40.xml><?xml version="1.0" encoding="utf-8"?>
<worksheet xmlns="http://schemas.openxmlformats.org/spreadsheetml/2006/main" xmlns:r="http://schemas.openxmlformats.org/officeDocument/2006/relationships">
  <sheetPr codeName="Sheet36"/>
  <dimension ref="A1:L49"/>
  <sheetViews>
    <sheetView workbookViewId="0">
      <selection activeCell="C3" sqref="C3"/>
    </sheetView>
  </sheetViews>
  <sheetFormatPr defaultRowHeight="12.4" customHeight="1"/>
  <cols>
    <col min="1" max="1" width="21.28515625" customWidth="1"/>
    <col min="2" max="2" width="13.85546875" customWidth="1"/>
    <col min="3" max="3" width="15.7109375" customWidth="1"/>
    <col min="4" max="4" width="23.28515625" customWidth="1"/>
  </cols>
  <sheetData>
    <row r="1" spans="1:12" ht="14.25" customHeight="1">
      <c r="A1" s="1825" t="s">
        <v>764</v>
      </c>
      <c r="B1" s="1825"/>
      <c r="C1" s="1825"/>
      <c r="D1" s="1825"/>
    </row>
    <row r="2" spans="1:12" ht="18.75" customHeight="1">
      <c r="A2" s="1857" t="str">
        <f>CONCATENATE("Cinema Houses in the district of ",District!A1)</f>
        <v>Cinema Houses in the district of Purba Medinipur</v>
      </c>
      <c r="B2" s="1857"/>
      <c r="C2" s="1857"/>
      <c r="D2" s="1857"/>
    </row>
    <row r="3" spans="1:12" ht="29.25" customHeight="1">
      <c r="A3" s="362" t="s">
        <v>899</v>
      </c>
      <c r="B3" s="175" t="s">
        <v>882</v>
      </c>
      <c r="C3" s="362" t="s">
        <v>883</v>
      </c>
      <c r="D3" s="233" t="s">
        <v>175</v>
      </c>
    </row>
    <row r="4" spans="1:12" ht="15" customHeight="1">
      <c r="A4" s="134" t="s">
        <v>955</v>
      </c>
      <c r="B4" s="135" t="s">
        <v>956</v>
      </c>
      <c r="C4" s="134" t="s">
        <v>957</v>
      </c>
      <c r="D4" s="136" t="s">
        <v>958</v>
      </c>
    </row>
    <row r="5" spans="1:12" ht="15" customHeight="1">
      <c r="A5" s="1489" t="s">
        <v>1356</v>
      </c>
      <c r="B5" s="115">
        <v>76</v>
      </c>
      <c r="C5" s="1490">
        <v>34222</v>
      </c>
      <c r="D5" s="1483">
        <v>2597</v>
      </c>
    </row>
    <row r="6" spans="1:12" ht="15" customHeight="1">
      <c r="A6" s="1489" t="s">
        <v>306</v>
      </c>
      <c r="B6" s="115">
        <v>76</v>
      </c>
      <c r="C6" s="1490">
        <v>34222</v>
      </c>
      <c r="D6" s="1483">
        <v>1093</v>
      </c>
    </row>
    <row r="7" spans="1:12" ht="15" customHeight="1">
      <c r="A7" s="284" t="s">
        <v>1357</v>
      </c>
      <c r="B7" s="115">
        <v>76</v>
      </c>
      <c r="C7" s="1490">
        <v>34222</v>
      </c>
      <c r="D7" s="1483">
        <v>1398</v>
      </c>
    </row>
    <row r="8" spans="1:12" ht="15" customHeight="1">
      <c r="A8" s="284" t="s">
        <v>628</v>
      </c>
      <c r="B8" s="115">
        <v>76</v>
      </c>
      <c r="C8" s="110">
        <v>34222</v>
      </c>
      <c r="D8" s="102">
        <v>1021</v>
      </c>
    </row>
    <row r="9" spans="1:12" ht="15" customHeight="1">
      <c r="A9" s="732" t="s">
        <v>1639</v>
      </c>
      <c r="B9" s="777">
        <f>SUM(B11,B21,B28,B35)</f>
        <v>19</v>
      </c>
      <c r="C9" s="732">
        <f>SUM(C11,C21,C28,C35)</f>
        <v>12450</v>
      </c>
      <c r="D9" s="491">
        <f>SUM(D11,D21,D28,D35)</f>
        <v>1252</v>
      </c>
    </row>
    <row r="10" spans="1:12" ht="27.75" customHeight="1">
      <c r="A10" s="362" t="s">
        <v>162</v>
      </c>
      <c r="B10" s="2005" t="str">
        <f>"Year : " &amp;  A9</f>
        <v>Year : 2013-14</v>
      </c>
      <c r="C10" s="2006"/>
      <c r="D10" s="2007"/>
      <c r="E10" s="1628"/>
      <c r="F10" s="1628"/>
      <c r="G10" s="1628"/>
      <c r="H10" s="1628"/>
      <c r="I10" s="1628"/>
      <c r="J10" s="1628"/>
      <c r="K10" s="1628"/>
      <c r="L10" s="1628"/>
    </row>
    <row r="11" spans="1:12" ht="15" customHeight="1">
      <c r="A11" s="603" t="s">
        <v>1273</v>
      </c>
      <c r="B11" s="306">
        <f>SUM(B12:B20)</f>
        <v>8</v>
      </c>
      <c r="C11" s="389">
        <f>SUM(C12:C20)</f>
        <v>4845</v>
      </c>
      <c r="D11" s="631">
        <f>SUM(D12:D20)</f>
        <v>362</v>
      </c>
    </row>
    <row r="12" spans="1:12" ht="15" customHeight="1">
      <c r="A12" s="267" t="s">
        <v>337</v>
      </c>
      <c r="B12" s="1768" t="s">
        <v>1384</v>
      </c>
      <c r="C12" s="813" t="s">
        <v>1384</v>
      </c>
      <c r="D12" s="1232" t="s">
        <v>1384</v>
      </c>
    </row>
    <row r="13" spans="1:12" ht="15" customHeight="1">
      <c r="A13" s="267" t="s">
        <v>1386</v>
      </c>
      <c r="B13" s="1768" t="s">
        <v>1384</v>
      </c>
      <c r="C13" s="813" t="s">
        <v>1384</v>
      </c>
      <c r="D13" s="1232" t="s">
        <v>1384</v>
      </c>
    </row>
    <row r="14" spans="1:12" ht="14.25" customHeight="1">
      <c r="A14" s="267" t="s">
        <v>1388</v>
      </c>
      <c r="B14" s="1768" t="s">
        <v>1384</v>
      </c>
      <c r="C14" s="813" t="s">
        <v>1384</v>
      </c>
      <c r="D14" s="1232" t="s">
        <v>1384</v>
      </c>
    </row>
    <row r="15" spans="1:12" ht="15" customHeight="1">
      <c r="A15" s="165" t="s">
        <v>1385</v>
      </c>
      <c r="B15" s="115">
        <v>2</v>
      </c>
      <c r="C15" s="110">
        <v>1100</v>
      </c>
      <c r="D15" s="102">
        <v>85</v>
      </c>
    </row>
    <row r="16" spans="1:12" ht="15" customHeight="1">
      <c r="A16" s="267" t="s">
        <v>1390</v>
      </c>
      <c r="B16" s="115">
        <v>1</v>
      </c>
      <c r="C16" s="110">
        <v>550</v>
      </c>
      <c r="D16" s="102">
        <v>45</v>
      </c>
    </row>
    <row r="17" spans="1:4" ht="15" customHeight="1">
      <c r="A17" s="267" t="s">
        <v>1391</v>
      </c>
      <c r="B17" s="115">
        <v>1</v>
      </c>
      <c r="C17" s="110">
        <v>550</v>
      </c>
      <c r="D17" s="102">
        <v>35</v>
      </c>
    </row>
    <row r="18" spans="1:4" ht="15" customHeight="1">
      <c r="A18" s="604" t="s">
        <v>1569</v>
      </c>
      <c r="B18" s="115">
        <v>1</v>
      </c>
      <c r="C18" s="110">
        <v>650</v>
      </c>
      <c r="D18" s="102">
        <v>45</v>
      </c>
    </row>
    <row r="19" spans="1:4" ht="15" customHeight="1">
      <c r="A19" s="267" t="s">
        <v>1383</v>
      </c>
      <c r="B19" s="115">
        <v>2</v>
      </c>
      <c r="C19" s="110">
        <v>1220</v>
      </c>
      <c r="D19" s="102">
        <v>80</v>
      </c>
    </row>
    <row r="20" spans="1:4" ht="15" customHeight="1">
      <c r="A20" s="267" t="s">
        <v>1389</v>
      </c>
      <c r="B20" s="115">
        <v>1</v>
      </c>
      <c r="C20" s="110">
        <v>775</v>
      </c>
      <c r="D20" s="102">
        <v>72</v>
      </c>
    </row>
    <row r="21" spans="1:4" ht="15" customHeight="1">
      <c r="A21" s="386" t="s">
        <v>842</v>
      </c>
      <c r="B21" s="389">
        <f>SUM(B22:B27)</f>
        <v>5</v>
      </c>
      <c r="C21" s="389">
        <f>SUM(C22:C27)</f>
        <v>3400</v>
      </c>
      <c r="D21" s="307">
        <f>SUM(D22:D27)</f>
        <v>350</v>
      </c>
    </row>
    <row r="22" spans="1:4" ht="15" customHeight="1">
      <c r="A22" s="267" t="s">
        <v>1393</v>
      </c>
      <c r="B22" s="1">
        <v>1</v>
      </c>
      <c r="C22" s="110">
        <v>650</v>
      </c>
      <c r="D22" s="102">
        <v>105</v>
      </c>
    </row>
    <row r="23" spans="1:4" ht="15" customHeight="1">
      <c r="A23" s="267" t="s">
        <v>1395</v>
      </c>
      <c r="B23" s="115">
        <v>1</v>
      </c>
      <c r="C23" s="110">
        <v>450</v>
      </c>
      <c r="D23" s="102">
        <v>45</v>
      </c>
    </row>
    <row r="24" spans="1:4" ht="15" customHeight="1">
      <c r="A24" s="267" t="s">
        <v>1396</v>
      </c>
      <c r="B24" s="1768" t="s">
        <v>1384</v>
      </c>
      <c r="C24" s="813" t="s">
        <v>1384</v>
      </c>
      <c r="D24" s="1232" t="s">
        <v>1384</v>
      </c>
    </row>
    <row r="25" spans="1:4" ht="15" customHeight="1">
      <c r="A25" s="267" t="s">
        <v>1397</v>
      </c>
      <c r="B25" s="115">
        <v>1</v>
      </c>
      <c r="C25" s="110">
        <v>700</v>
      </c>
      <c r="D25" s="102">
        <v>55</v>
      </c>
    </row>
    <row r="26" spans="1:4" ht="15" customHeight="1">
      <c r="A26" s="387" t="s">
        <v>1399</v>
      </c>
      <c r="B26" s="147">
        <v>1</v>
      </c>
      <c r="C26" s="1480">
        <v>750</v>
      </c>
      <c r="D26" s="1481">
        <v>65</v>
      </c>
    </row>
    <row r="27" spans="1:4" ht="15" customHeight="1">
      <c r="A27" s="267" t="s">
        <v>1400</v>
      </c>
      <c r="B27" s="115">
        <v>1</v>
      </c>
      <c r="C27" s="110">
        <v>850</v>
      </c>
      <c r="D27" s="102">
        <v>80</v>
      </c>
    </row>
    <row r="28" spans="1:4" ht="15" customHeight="1">
      <c r="A28" s="386" t="s">
        <v>844</v>
      </c>
      <c r="B28" s="306">
        <f>SUM(B29:B34)</f>
        <v>1</v>
      </c>
      <c r="C28" s="389">
        <f>SUM(C29:C34)</f>
        <v>650</v>
      </c>
      <c r="D28" s="307">
        <f>SUM(D29:D34)</f>
        <v>35</v>
      </c>
    </row>
    <row r="29" spans="1:4" ht="15" customHeight="1">
      <c r="A29" s="267" t="s">
        <v>1269</v>
      </c>
      <c r="B29" s="1768" t="s">
        <v>1384</v>
      </c>
      <c r="C29" s="813" t="s">
        <v>1384</v>
      </c>
      <c r="D29" s="1232" t="s">
        <v>1384</v>
      </c>
    </row>
    <row r="30" spans="1:4" ht="15" customHeight="1">
      <c r="A30" s="267" t="s">
        <v>1270</v>
      </c>
      <c r="B30" s="1768" t="s">
        <v>1384</v>
      </c>
      <c r="C30" s="813" t="s">
        <v>1384</v>
      </c>
      <c r="D30" s="1232" t="s">
        <v>1384</v>
      </c>
    </row>
    <row r="31" spans="1:4" ht="15" customHeight="1">
      <c r="A31" s="267" t="s">
        <v>1412</v>
      </c>
      <c r="B31" s="115">
        <v>1</v>
      </c>
      <c r="C31" s="110">
        <v>650</v>
      </c>
      <c r="D31" s="102">
        <v>35</v>
      </c>
    </row>
    <row r="32" spans="1:4" ht="15" customHeight="1">
      <c r="A32" s="267" t="s">
        <v>1413</v>
      </c>
      <c r="B32" s="1768" t="s">
        <v>1384</v>
      </c>
      <c r="C32" s="813" t="s">
        <v>1384</v>
      </c>
      <c r="D32" s="1232" t="s">
        <v>1384</v>
      </c>
    </row>
    <row r="33" spans="1:4" ht="15" customHeight="1">
      <c r="A33" s="267" t="s">
        <v>1414</v>
      </c>
      <c r="B33" s="1768" t="s">
        <v>1384</v>
      </c>
      <c r="C33" s="813" t="s">
        <v>1384</v>
      </c>
      <c r="D33" s="1232" t="s">
        <v>1384</v>
      </c>
    </row>
    <row r="34" spans="1:4" ht="15" customHeight="1">
      <c r="A34" s="267" t="s">
        <v>156</v>
      </c>
      <c r="B34" s="1768" t="s">
        <v>1384</v>
      </c>
      <c r="C34" s="813" t="s">
        <v>1384</v>
      </c>
      <c r="D34" s="1232" t="s">
        <v>1384</v>
      </c>
    </row>
    <row r="35" spans="1:4" ht="15" customHeight="1">
      <c r="A35" s="386" t="s">
        <v>1275</v>
      </c>
      <c r="B35" s="306">
        <f>SUM(B36:B44)</f>
        <v>5</v>
      </c>
      <c r="C35" s="389">
        <f>SUM(C36:C44)</f>
        <v>3555</v>
      </c>
      <c r="D35" s="307">
        <f>SUM(D36:D44)</f>
        <v>505</v>
      </c>
    </row>
    <row r="36" spans="1:4" ht="15" customHeight="1">
      <c r="A36" s="267" t="s">
        <v>1419</v>
      </c>
      <c r="B36" s="115">
        <v>1</v>
      </c>
      <c r="C36" s="110">
        <v>675</v>
      </c>
      <c r="D36" s="102">
        <v>75</v>
      </c>
    </row>
    <row r="37" spans="1:4" ht="15" customHeight="1">
      <c r="A37" s="267" t="s">
        <v>1420</v>
      </c>
      <c r="B37" s="1768" t="s">
        <v>1384</v>
      </c>
      <c r="C37" s="813" t="s">
        <v>1384</v>
      </c>
      <c r="D37" s="1232" t="s">
        <v>1384</v>
      </c>
    </row>
    <row r="38" spans="1:4" ht="15" customHeight="1">
      <c r="A38" s="267" t="s">
        <v>1422</v>
      </c>
      <c r="B38" s="1768" t="s">
        <v>1384</v>
      </c>
      <c r="C38" s="813" t="s">
        <v>1384</v>
      </c>
      <c r="D38" s="1232" t="s">
        <v>1384</v>
      </c>
    </row>
    <row r="39" spans="1:4" ht="15" customHeight="1">
      <c r="A39" s="267" t="s">
        <v>1423</v>
      </c>
      <c r="B39" s="1768" t="s">
        <v>1384</v>
      </c>
      <c r="C39" s="813" t="s">
        <v>1384</v>
      </c>
      <c r="D39" s="1232" t="s">
        <v>1384</v>
      </c>
    </row>
    <row r="40" spans="1:4" ht="15" customHeight="1">
      <c r="A40" s="267" t="s">
        <v>1425</v>
      </c>
      <c r="B40" s="1768" t="s">
        <v>1384</v>
      </c>
      <c r="C40" s="813" t="s">
        <v>1384</v>
      </c>
      <c r="D40" s="1232" t="s">
        <v>1384</v>
      </c>
    </row>
    <row r="41" spans="1:4" ht="15" customHeight="1">
      <c r="A41" s="267" t="s">
        <v>1426</v>
      </c>
      <c r="B41" s="115">
        <v>1</v>
      </c>
      <c r="C41" s="110">
        <v>675</v>
      </c>
      <c r="D41" s="102">
        <v>50</v>
      </c>
    </row>
    <row r="42" spans="1:4" ht="15" customHeight="1">
      <c r="A42" s="604" t="s">
        <v>263</v>
      </c>
      <c r="B42" s="1768" t="s">
        <v>1384</v>
      </c>
      <c r="C42" s="813" t="s">
        <v>1384</v>
      </c>
      <c r="D42" s="1232" t="s">
        <v>1384</v>
      </c>
    </row>
    <row r="43" spans="1:4" ht="15" customHeight="1">
      <c r="A43" s="267" t="s">
        <v>1429</v>
      </c>
      <c r="B43" s="147">
        <v>1</v>
      </c>
      <c r="C43" s="110">
        <v>825</v>
      </c>
      <c r="D43" s="102">
        <v>110</v>
      </c>
    </row>
    <row r="44" spans="1:4" ht="15" customHeight="1">
      <c r="A44" s="305" t="s">
        <v>1427</v>
      </c>
      <c r="B44" s="28">
        <v>2</v>
      </c>
      <c r="C44" s="111">
        <v>1380</v>
      </c>
      <c r="D44" s="111">
        <v>270</v>
      </c>
    </row>
    <row r="45" spans="1:4" ht="15" customHeight="1">
      <c r="A45" s="2117" t="s">
        <v>1672</v>
      </c>
      <c r="B45" s="2117"/>
      <c r="D45" s="2115" t="s">
        <v>1193</v>
      </c>
    </row>
    <row r="46" spans="1:4" ht="13.5" customHeight="1">
      <c r="A46" s="2118"/>
      <c r="B46" s="2118"/>
      <c r="D46" s="2116"/>
    </row>
    <row r="47" spans="1:4" ht="12.4" customHeight="1">
      <c r="A47" s="2118"/>
      <c r="B47" s="2118"/>
      <c r="C47" s="62"/>
      <c r="D47" s="64"/>
    </row>
    <row r="48" spans="1:4" ht="12.75" customHeight="1">
      <c r="A48" s="2118"/>
      <c r="B48" s="2118"/>
    </row>
    <row r="49" spans="4:4" ht="12.4" customHeight="1">
      <c r="D49" s="698"/>
    </row>
  </sheetData>
  <mergeCells count="5">
    <mergeCell ref="B10:D10"/>
    <mergeCell ref="A1:D1"/>
    <mergeCell ref="A2:D2"/>
    <mergeCell ref="D45:D46"/>
    <mergeCell ref="A45:B48"/>
  </mergeCells>
  <phoneticPr fontId="0" type="noConversion"/>
  <printOptions horizontalCentered="1"/>
  <pageMargins left="0.1" right="0.14000000000000001" top="0.89" bottom="0.1" header="0.14000000000000001" footer="0.1"/>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dimension ref="B1:H22"/>
  <sheetViews>
    <sheetView workbookViewId="0">
      <selection activeCell="C3" sqref="C3"/>
    </sheetView>
  </sheetViews>
  <sheetFormatPr defaultRowHeight="12.75"/>
  <cols>
    <col min="1" max="1" width="10.42578125" customWidth="1"/>
    <col min="2" max="2" width="20.140625" customWidth="1"/>
    <col min="3" max="8" width="17.7109375" customWidth="1"/>
  </cols>
  <sheetData>
    <row r="1" spans="2:8" ht="21" customHeight="1">
      <c r="B1" s="1893" t="s">
        <v>763</v>
      </c>
      <c r="C1" s="1893"/>
      <c r="D1" s="1893"/>
      <c r="E1" s="1893"/>
      <c r="F1" s="1893"/>
      <c r="G1" s="1893"/>
      <c r="H1" s="1893"/>
    </row>
    <row r="2" spans="2:8" ht="24.95" customHeight="1">
      <c r="B2" s="1853" t="str">
        <f>CONCATENATE("Newspapers and Periodicals published in the district of ",District!A1)</f>
        <v>Newspapers and Periodicals published in the district of Purba Medinipur</v>
      </c>
      <c r="C2" s="1853"/>
      <c r="D2" s="1853"/>
      <c r="E2" s="1853"/>
      <c r="F2" s="2120"/>
      <c r="G2" s="2120"/>
      <c r="H2" s="2120"/>
    </row>
    <row r="3" spans="2:8" ht="16.5" customHeight="1">
      <c r="B3" s="7"/>
      <c r="C3" s="7"/>
      <c r="D3" s="7"/>
      <c r="E3" s="7"/>
      <c r="F3" s="7"/>
      <c r="G3" s="7"/>
      <c r="H3" s="204" t="s">
        <v>1001</v>
      </c>
    </row>
    <row r="4" spans="2:8" ht="39.950000000000003" customHeight="1">
      <c r="B4" s="356" t="s">
        <v>238</v>
      </c>
      <c r="C4" s="160" t="s">
        <v>1436</v>
      </c>
      <c r="D4" s="160" t="s">
        <v>1437</v>
      </c>
      <c r="E4" s="160" t="s">
        <v>1438</v>
      </c>
      <c r="F4" s="160" t="s">
        <v>1440</v>
      </c>
      <c r="G4" s="160" t="s">
        <v>1128</v>
      </c>
      <c r="H4" s="160" t="s">
        <v>979</v>
      </c>
    </row>
    <row r="5" spans="2:8" ht="23.25" customHeight="1">
      <c r="B5" s="209" t="s">
        <v>955</v>
      </c>
      <c r="C5" s="135" t="s">
        <v>956</v>
      </c>
      <c r="D5" s="134" t="s">
        <v>957</v>
      </c>
      <c r="E5" s="135" t="s">
        <v>958</v>
      </c>
      <c r="F5" s="193" t="s">
        <v>959</v>
      </c>
      <c r="G5" s="193" t="s">
        <v>961</v>
      </c>
      <c r="H5" s="192" t="s">
        <v>962</v>
      </c>
    </row>
    <row r="6" spans="2:8" ht="27" customHeight="1">
      <c r="B6" s="1489">
        <v>2010</v>
      </c>
      <c r="C6" s="104">
        <v>6</v>
      </c>
      <c r="D6" s="120">
        <v>8</v>
      </c>
      <c r="E6" s="104">
        <v>16</v>
      </c>
      <c r="F6" s="120">
        <v>2</v>
      </c>
      <c r="G6" s="120">
        <v>7</v>
      </c>
      <c r="H6" s="1483">
        <f>IF(SUM(C6:G6)=0,"-",SUM(C6:G6))</f>
        <v>39</v>
      </c>
    </row>
    <row r="7" spans="2:8" ht="27" customHeight="1">
      <c r="B7" s="304">
        <v>2011</v>
      </c>
      <c r="C7" s="104">
        <v>5</v>
      </c>
      <c r="D7" s="120">
        <v>7</v>
      </c>
      <c r="E7" s="104">
        <v>16</v>
      </c>
      <c r="F7" s="120">
        <v>4</v>
      </c>
      <c r="G7" s="120">
        <v>7</v>
      </c>
      <c r="H7" s="1483">
        <f>SUM(C7:G7)</f>
        <v>39</v>
      </c>
    </row>
    <row r="8" spans="2:8" ht="27" customHeight="1">
      <c r="B8" s="304">
        <v>2012</v>
      </c>
      <c r="C8" s="454">
        <v>5</v>
      </c>
      <c r="D8" s="445">
        <v>7</v>
      </c>
      <c r="E8" s="454">
        <v>18</v>
      </c>
      <c r="F8" s="445">
        <v>3</v>
      </c>
      <c r="G8" s="445">
        <v>10</v>
      </c>
      <c r="H8" s="1481">
        <f>IF(SUM(C8:G8)=0,"-",SUM(C8:G8))</f>
        <v>43</v>
      </c>
    </row>
    <row r="9" spans="2:8" ht="27" customHeight="1">
      <c r="B9" s="304">
        <v>2013</v>
      </c>
      <c r="C9" s="454">
        <v>4</v>
      </c>
      <c r="D9" s="445">
        <v>8</v>
      </c>
      <c r="E9" s="454">
        <v>19</v>
      </c>
      <c r="F9" s="445">
        <v>2</v>
      </c>
      <c r="G9" s="445">
        <v>8</v>
      </c>
      <c r="H9" s="408">
        <f>IF(SUM(C9:G9)=0,"-",SUM(C9:G9))</f>
        <v>41</v>
      </c>
    </row>
    <row r="10" spans="2:8" ht="27" customHeight="1">
      <c r="B10" s="823">
        <v>2014</v>
      </c>
      <c r="C10" s="454">
        <f>SUM(C12:C16)</f>
        <v>4</v>
      </c>
      <c r="D10" s="449">
        <f>SUM(D12:D16)</f>
        <v>8</v>
      </c>
      <c r="E10" s="454">
        <f>SUM(E12:E16)</f>
        <v>19</v>
      </c>
      <c r="F10" s="449">
        <f>SUM(F12:F16)</f>
        <v>2</v>
      </c>
      <c r="G10" s="449">
        <f>SUM(G12:G16)</f>
        <v>8</v>
      </c>
      <c r="H10" s="408">
        <f>IF(SUM(C10:G10)=0,"-",SUM(C10:G10))</f>
        <v>41</v>
      </c>
    </row>
    <row r="11" spans="2:8" ht="24" customHeight="1">
      <c r="B11" s="996" t="s">
        <v>186</v>
      </c>
      <c r="C11" s="2005" t="str">
        <f>"Year : "   &amp; B10</f>
        <v>Year : 2014</v>
      </c>
      <c r="D11" s="2006"/>
      <c r="E11" s="2006"/>
      <c r="F11" s="2006"/>
      <c r="G11" s="2006"/>
      <c r="H11" s="2007"/>
    </row>
    <row r="12" spans="2:8" ht="27" customHeight="1">
      <c r="B12" s="277" t="s">
        <v>1441</v>
      </c>
      <c r="C12" s="125">
        <v>4</v>
      </c>
      <c r="D12" s="495">
        <v>8</v>
      </c>
      <c r="E12" s="104">
        <v>19</v>
      </c>
      <c r="F12" s="495">
        <v>2</v>
      </c>
      <c r="G12" s="495">
        <v>7</v>
      </c>
      <c r="H12" s="408">
        <f>IF(SUM(C12:G12)=0,"-",SUM(C12:G12))</f>
        <v>40</v>
      </c>
    </row>
    <row r="13" spans="2:8" ht="27" customHeight="1">
      <c r="B13" s="278" t="s">
        <v>1442</v>
      </c>
      <c r="C13" s="455" t="s">
        <v>1384</v>
      </c>
      <c r="D13" s="455" t="s">
        <v>1384</v>
      </c>
      <c r="E13" s="455" t="s">
        <v>1384</v>
      </c>
      <c r="F13" s="455" t="s">
        <v>1384</v>
      </c>
      <c r="G13" s="446">
        <v>1</v>
      </c>
      <c r="H13" s="391">
        <f>IF(SUM(C13:G13)=0,"-",SUM(C13:G13))</f>
        <v>1</v>
      </c>
    </row>
    <row r="14" spans="2:8" ht="27" customHeight="1">
      <c r="B14" s="278" t="s">
        <v>1443</v>
      </c>
      <c r="C14" s="455" t="s">
        <v>1384</v>
      </c>
      <c r="D14" s="455" t="s">
        <v>1384</v>
      </c>
      <c r="E14" s="455" t="s">
        <v>1384</v>
      </c>
      <c r="F14" s="455" t="s">
        <v>1384</v>
      </c>
      <c r="G14" s="455" t="s">
        <v>1384</v>
      </c>
      <c r="H14" s="391" t="str">
        <f>IF(SUM(C14:G14)=0,"-",SUM(C14:G14))</f>
        <v>-</v>
      </c>
    </row>
    <row r="15" spans="2:8" ht="27" customHeight="1">
      <c r="B15" s="278" t="s">
        <v>1444</v>
      </c>
      <c r="C15" s="455" t="s">
        <v>1384</v>
      </c>
      <c r="D15" s="455" t="s">
        <v>1384</v>
      </c>
      <c r="E15" s="455" t="s">
        <v>1384</v>
      </c>
      <c r="F15" s="455" t="s">
        <v>1384</v>
      </c>
      <c r="G15" s="455" t="s">
        <v>1384</v>
      </c>
      <c r="H15" s="391" t="str">
        <f>IF(SUM(C15:G15)=0,"-",SUM(C15:G15))</f>
        <v>-</v>
      </c>
    </row>
    <row r="16" spans="2:8" ht="27" customHeight="1">
      <c r="B16" s="283" t="s">
        <v>1128</v>
      </c>
      <c r="C16" s="455" t="s">
        <v>1384</v>
      </c>
      <c r="D16" s="455" t="s">
        <v>1384</v>
      </c>
      <c r="E16" s="455" t="s">
        <v>1384</v>
      </c>
      <c r="F16" s="455" t="s">
        <v>1384</v>
      </c>
      <c r="G16" s="455" t="s">
        <v>1384</v>
      </c>
      <c r="H16" s="443" t="str">
        <f>IF(SUM(C16:G16)=0,"-",SUM(C16:G16))</f>
        <v>-</v>
      </c>
    </row>
    <row r="17" spans="2:8" ht="24" customHeight="1">
      <c r="B17" s="276" t="s">
        <v>979</v>
      </c>
      <c r="C17" s="276">
        <f t="shared" ref="C17:H17" si="0">SUM(C12:C16)</f>
        <v>4</v>
      </c>
      <c r="D17" s="275">
        <f t="shared" si="0"/>
        <v>8</v>
      </c>
      <c r="E17" s="138">
        <f t="shared" si="0"/>
        <v>19</v>
      </c>
      <c r="F17" s="275">
        <f t="shared" si="0"/>
        <v>2</v>
      </c>
      <c r="G17" s="275">
        <f t="shared" si="0"/>
        <v>8</v>
      </c>
      <c r="H17" s="139">
        <f t="shared" si="0"/>
        <v>41</v>
      </c>
    </row>
    <row r="18" spans="2:8" ht="14.25" customHeight="1">
      <c r="B18" s="203"/>
      <c r="C18" s="62"/>
      <c r="E18" s="1447"/>
      <c r="F18" s="2119" t="str">
        <f>CONCATENATE("Source : District Information &amp; Cultural Officer, ",District!A1)</f>
        <v>Source : District Information &amp; Cultural Officer, Purba Medinipur</v>
      </c>
      <c r="G18" s="2119"/>
      <c r="H18" s="2119"/>
    </row>
    <row r="19" spans="2:8">
      <c r="B19" s="62"/>
      <c r="C19" s="62"/>
      <c r="D19" s="62"/>
      <c r="E19" s="62"/>
      <c r="F19" s="62"/>
      <c r="G19" s="62"/>
      <c r="H19" s="62"/>
    </row>
    <row r="20" spans="2:8">
      <c r="B20" s="62"/>
      <c r="C20" s="62"/>
      <c r="D20" s="62"/>
      <c r="E20" s="62"/>
      <c r="F20" s="62"/>
      <c r="G20" s="62"/>
      <c r="H20" s="62"/>
    </row>
    <row r="21" spans="2:8">
      <c r="B21" s="62"/>
      <c r="C21" s="62"/>
      <c r="D21" s="62"/>
      <c r="E21" s="62"/>
      <c r="F21" s="62"/>
      <c r="G21" s="62"/>
      <c r="H21" s="62"/>
    </row>
    <row r="22" spans="2:8">
      <c r="B22" s="62"/>
      <c r="C22" s="62"/>
      <c r="D22" s="62"/>
      <c r="E22" s="62"/>
      <c r="F22" s="62"/>
      <c r="G22" s="62"/>
      <c r="H22" s="62"/>
    </row>
  </sheetData>
  <mergeCells count="4">
    <mergeCell ref="F18:H18"/>
    <mergeCell ref="B1:H1"/>
    <mergeCell ref="C11:H11"/>
    <mergeCell ref="B2:H2"/>
  </mergeCells>
  <phoneticPr fontId="0" type="noConversion"/>
  <pageMargins left="0.13" right="0.1" top="0.73" bottom="0.1" header="0.4" footer="0.1"/>
  <pageSetup paperSize="9" orientation="landscape" blackAndWhite="1" r:id="rId1"/>
  <headerFooter alignWithMargins="0"/>
</worksheet>
</file>

<file path=xl/worksheets/sheet42.xml><?xml version="1.0" encoding="utf-8"?>
<worksheet xmlns="http://schemas.openxmlformats.org/spreadsheetml/2006/main" xmlns:r="http://schemas.openxmlformats.org/officeDocument/2006/relationships">
  <dimension ref="A1:O26"/>
  <sheetViews>
    <sheetView topLeftCell="A4" workbookViewId="0">
      <selection activeCell="N8" sqref="N8"/>
    </sheetView>
  </sheetViews>
  <sheetFormatPr defaultRowHeight="12.75"/>
  <cols>
    <col min="1" max="1" width="12.85546875" customWidth="1"/>
    <col min="2" max="5" width="8.7109375" customWidth="1"/>
    <col min="6" max="6" width="9.85546875" customWidth="1"/>
    <col min="8" max="9" width="10.5703125" customWidth="1"/>
    <col min="12" max="12" width="8.5703125" customWidth="1"/>
    <col min="13" max="14" width="8.28515625" customWidth="1"/>
  </cols>
  <sheetData>
    <row r="1" spans="1:15" ht="18" customHeight="1">
      <c r="B1" s="1825" t="s">
        <v>762</v>
      </c>
      <c r="C1" s="1825"/>
      <c r="D1" s="1825"/>
      <c r="E1" s="1825"/>
      <c r="F1" s="1825"/>
      <c r="G1" s="1825"/>
      <c r="H1" s="1825"/>
      <c r="I1" s="1825"/>
      <c r="J1" s="1825"/>
      <c r="K1" s="1825"/>
      <c r="L1" s="1825"/>
      <c r="M1" s="1825"/>
    </row>
    <row r="2" spans="1:15" ht="15.75" customHeight="1">
      <c r="B2" s="1835" t="str">
        <f>CONCATENATE("Classification of Land Utilization Statistics in the district of ",District!A1)</f>
        <v>Classification of Land Utilization Statistics in the district of Purba Medinipur</v>
      </c>
      <c r="C2" s="1835"/>
      <c r="D2" s="1835"/>
      <c r="E2" s="1835"/>
      <c r="F2" s="1835"/>
      <c r="G2" s="1835"/>
      <c r="H2" s="1835"/>
      <c r="I2" s="1835"/>
      <c r="J2" s="1835"/>
      <c r="K2" s="1835"/>
      <c r="L2" s="1835"/>
      <c r="M2" s="1835"/>
    </row>
    <row r="3" spans="1:15" ht="12.75" customHeight="1">
      <c r="A3" s="7"/>
      <c r="B3" s="7"/>
      <c r="C3" s="7"/>
      <c r="D3" s="7"/>
      <c r="E3" s="7"/>
      <c r="F3" s="7"/>
      <c r="G3" s="7"/>
      <c r="H3" s="7"/>
      <c r="I3" s="7"/>
      <c r="J3" s="7"/>
      <c r="M3" s="204" t="s">
        <v>1237</v>
      </c>
    </row>
    <row r="4" spans="1:15" s="11" customFormat="1" ht="77.25" customHeight="1">
      <c r="B4" s="1829" t="s">
        <v>899</v>
      </c>
      <c r="C4" s="1828"/>
      <c r="D4" s="175" t="s">
        <v>497</v>
      </c>
      <c r="E4" s="362" t="s">
        <v>498</v>
      </c>
      <c r="F4" s="175" t="s">
        <v>499</v>
      </c>
      <c r="G4" s="362" t="s">
        <v>1211</v>
      </c>
      <c r="H4" s="175" t="s">
        <v>500</v>
      </c>
      <c r="I4" s="362" t="s">
        <v>501</v>
      </c>
      <c r="J4" s="175" t="s">
        <v>502</v>
      </c>
      <c r="K4" s="362" t="s">
        <v>503</v>
      </c>
      <c r="L4" s="362" t="s">
        <v>504</v>
      </c>
      <c r="M4" s="233" t="s">
        <v>505</v>
      </c>
    </row>
    <row r="5" spans="1:15" s="11" customFormat="1" ht="17.25" customHeight="1">
      <c r="B5" s="2121" t="s">
        <v>955</v>
      </c>
      <c r="C5" s="2122"/>
      <c r="D5" s="269" t="s">
        <v>956</v>
      </c>
      <c r="E5" s="209" t="s">
        <v>957</v>
      </c>
      <c r="F5" s="270" t="s">
        <v>958</v>
      </c>
      <c r="G5" s="209" t="s">
        <v>959</v>
      </c>
      <c r="H5" s="270" t="s">
        <v>961</v>
      </c>
      <c r="I5" s="209" t="s">
        <v>962</v>
      </c>
      <c r="J5" s="270" t="s">
        <v>990</v>
      </c>
      <c r="K5" s="209" t="s">
        <v>991</v>
      </c>
      <c r="L5" s="270" t="s">
        <v>992</v>
      </c>
      <c r="M5" s="209" t="s">
        <v>993</v>
      </c>
    </row>
    <row r="6" spans="1:15" ht="22.5" customHeight="1">
      <c r="B6" s="2123" t="s">
        <v>1356</v>
      </c>
      <c r="C6" s="2124"/>
      <c r="D6" s="952">
        <f>SUM(E6:M6)</f>
        <v>396.59399999999999</v>
      </c>
      <c r="E6" s="949">
        <v>0.89900000000000002</v>
      </c>
      <c r="F6" s="950">
        <v>101.834</v>
      </c>
      <c r="G6" s="949">
        <v>0.52100000000000002</v>
      </c>
      <c r="H6" s="950">
        <v>4.7E-2</v>
      </c>
      <c r="I6" s="949">
        <v>1.964</v>
      </c>
      <c r="J6" s="950">
        <v>0.20499999999999999</v>
      </c>
      <c r="K6" s="949">
        <v>0.28100000000000003</v>
      </c>
      <c r="L6" s="950">
        <v>1.7889999999999999</v>
      </c>
      <c r="M6" s="1190">
        <v>289.05399999999997</v>
      </c>
    </row>
    <row r="7" spans="1:15" ht="22.5" customHeight="1">
      <c r="B7" s="1847" t="s">
        <v>306</v>
      </c>
      <c r="C7" s="1848"/>
      <c r="D7" s="952">
        <f>SUM(E7:M7)</f>
        <v>396.59000000000003</v>
      </c>
      <c r="E7" s="949">
        <v>0.9</v>
      </c>
      <c r="F7" s="950">
        <v>102.24</v>
      </c>
      <c r="G7" s="949">
        <v>0.69</v>
      </c>
      <c r="H7" s="950">
        <v>0.18</v>
      </c>
      <c r="I7" s="1235">
        <v>2.15</v>
      </c>
      <c r="J7" s="1236">
        <v>0.28999999999999998</v>
      </c>
      <c r="K7" s="949">
        <v>0.24</v>
      </c>
      <c r="L7" s="950">
        <v>1.85</v>
      </c>
      <c r="M7" s="1190">
        <v>288.05</v>
      </c>
    </row>
    <row r="8" spans="1:15" ht="22.5" customHeight="1">
      <c r="B8" s="1847" t="s">
        <v>1357</v>
      </c>
      <c r="C8" s="1848"/>
      <c r="D8" s="952">
        <f>SUM(E8:M8)</f>
        <v>396.59</v>
      </c>
      <c r="E8" s="949">
        <v>0.9</v>
      </c>
      <c r="F8" s="950">
        <v>102.28</v>
      </c>
      <c r="G8" s="949">
        <v>0.41</v>
      </c>
      <c r="H8" s="950">
        <v>7.0000000000000007E-2</v>
      </c>
      <c r="I8" s="1235">
        <v>2.16</v>
      </c>
      <c r="J8" s="1236">
        <v>0.17</v>
      </c>
      <c r="K8" s="949">
        <v>0.1</v>
      </c>
      <c r="L8" s="950">
        <v>1.55</v>
      </c>
      <c r="M8" s="1190">
        <v>288.95</v>
      </c>
      <c r="O8" s="802"/>
    </row>
    <row r="9" spans="1:15" ht="22.5" customHeight="1">
      <c r="B9" s="1847" t="s">
        <v>628</v>
      </c>
      <c r="C9" s="1848"/>
      <c r="D9" s="952">
        <f>SUM(E9:M9)</f>
        <v>396.59000000000003</v>
      </c>
      <c r="E9" s="949">
        <v>0.9</v>
      </c>
      <c r="F9" s="950">
        <v>102.76</v>
      </c>
      <c r="G9" s="949">
        <v>0.32</v>
      </c>
      <c r="H9" s="950">
        <v>0.04</v>
      </c>
      <c r="I9" s="1235">
        <v>2</v>
      </c>
      <c r="J9" s="1236">
        <v>0.12</v>
      </c>
      <c r="K9" s="949">
        <v>0.06</v>
      </c>
      <c r="L9" s="950">
        <v>1.1599999999999999</v>
      </c>
      <c r="M9" s="1190">
        <v>289.23</v>
      </c>
    </row>
    <row r="10" spans="1:15" ht="22.5" customHeight="1">
      <c r="B10" s="1849" t="s">
        <v>1639</v>
      </c>
      <c r="C10" s="1850"/>
      <c r="D10" s="1774">
        <f>SUM(E10:M10)</f>
        <v>396.59</v>
      </c>
      <c r="E10" s="951">
        <v>0.9</v>
      </c>
      <c r="F10" s="1187">
        <v>103.21</v>
      </c>
      <c r="G10" s="951">
        <v>0.2</v>
      </c>
      <c r="H10" s="1187">
        <v>0.04</v>
      </c>
      <c r="I10" s="1188">
        <v>2.0299999999999998</v>
      </c>
      <c r="J10" s="1189">
        <v>0.08</v>
      </c>
      <c r="K10" s="951">
        <v>0.03</v>
      </c>
      <c r="L10" s="1187">
        <v>0.95</v>
      </c>
      <c r="M10" s="1191">
        <v>289.14999999999998</v>
      </c>
    </row>
    <row r="11" spans="1:15" ht="12.75" customHeight="1">
      <c r="C11" s="62"/>
      <c r="D11" s="62"/>
      <c r="E11" s="62"/>
      <c r="F11" s="62"/>
      <c r="K11" s="292"/>
      <c r="L11" s="292"/>
      <c r="M11" s="1126" t="s">
        <v>1457</v>
      </c>
    </row>
    <row r="12" spans="1:15">
      <c r="A12" s="62"/>
      <c r="B12" s="62"/>
      <c r="C12" s="62"/>
      <c r="D12" s="62"/>
      <c r="E12" s="62"/>
      <c r="F12" s="62"/>
      <c r="G12" s="62"/>
      <c r="H12" s="62"/>
      <c r="I12" s="62"/>
      <c r="J12" s="62"/>
      <c r="K12" s="62"/>
    </row>
    <row r="13" spans="1:15">
      <c r="A13" s="1825" t="s">
        <v>761</v>
      </c>
      <c r="B13" s="1825"/>
      <c r="C13" s="1825"/>
      <c r="D13" s="1825"/>
      <c r="E13" s="1825"/>
      <c r="F13" s="1825"/>
      <c r="G13" s="1825"/>
      <c r="H13" s="1825"/>
      <c r="I13" s="1825"/>
      <c r="J13" s="1825"/>
      <c r="K13" s="1825"/>
      <c r="L13" s="1825"/>
      <c r="M13" s="1825"/>
      <c r="N13" s="1825"/>
    </row>
    <row r="14" spans="1:15" ht="16.5">
      <c r="A14" s="1857" t="str">
        <f>CONCATENATE("Distribution of Operational Holdings over size-classes in the district of ",District!A1)</f>
        <v>Distribution of Operational Holdings over size-classes in the district of Purba Medinipur</v>
      </c>
      <c r="B14" s="1857"/>
      <c r="C14" s="1857"/>
      <c r="D14" s="1857"/>
      <c r="E14" s="1857"/>
      <c r="F14" s="1857"/>
      <c r="G14" s="1857"/>
      <c r="H14" s="1857"/>
      <c r="I14" s="1857"/>
      <c r="J14" s="1857"/>
      <c r="K14" s="1857"/>
      <c r="L14" s="1857"/>
      <c r="M14" s="1857"/>
      <c r="N14" s="1857"/>
    </row>
    <row r="15" spans="1:15">
      <c r="A15" s="7"/>
      <c r="B15" s="7"/>
      <c r="C15" s="7"/>
      <c r="D15" s="7"/>
      <c r="E15" s="7"/>
      <c r="F15" s="7"/>
      <c r="G15" s="7"/>
      <c r="H15" s="7"/>
      <c r="I15" s="7"/>
      <c r="J15" s="7"/>
      <c r="K15" s="7"/>
      <c r="L15" s="7"/>
      <c r="M15" s="7"/>
      <c r="N15" s="485" t="s">
        <v>1484</v>
      </c>
    </row>
    <row r="16" spans="1:15" ht="15.75" customHeight="1">
      <c r="A16" s="1831" t="s">
        <v>899</v>
      </c>
      <c r="B16" s="1829" t="s">
        <v>1450</v>
      </c>
      <c r="C16" s="1827"/>
      <c r="D16" s="1827"/>
      <c r="E16" s="1827"/>
      <c r="F16" s="1827"/>
      <c r="G16" s="1827"/>
      <c r="H16" s="1827"/>
      <c r="I16" s="1827"/>
      <c r="J16" s="1827"/>
      <c r="K16" s="1827"/>
      <c r="L16" s="1827"/>
      <c r="M16" s="1828"/>
      <c r="N16" s="1833" t="s">
        <v>1239</v>
      </c>
    </row>
    <row r="17" spans="1:14" ht="20.100000000000001" customHeight="1">
      <c r="A17" s="1858"/>
      <c r="B17" s="1829" t="s">
        <v>1445</v>
      </c>
      <c r="C17" s="1828"/>
      <c r="D17" s="1829" t="s">
        <v>1446</v>
      </c>
      <c r="E17" s="1828"/>
      <c r="F17" s="1829" t="s">
        <v>1447</v>
      </c>
      <c r="G17" s="1828"/>
      <c r="H17" s="1829" t="s">
        <v>1448</v>
      </c>
      <c r="I17" s="1828"/>
      <c r="J17" s="1829" t="s">
        <v>1449</v>
      </c>
      <c r="K17" s="1828"/>
      <c r="L17" s="1829" t="s">
        <v>979</v>
      </c>
      <c r="M17" s="1828"/>
      <c r="N17" s="1870"/>
    </row>
    <row r="18" spans="1:14" ht="30" customHeight="1">
      <c r="A18" s="1832"/>
      <c r="B18" s="157" t="s">
        <v>506</v>
      </c>
      <c r="C18" s="362" t="s">
        <v>1238</v>
      </c>
      <c r="D18" s="157" t="s">
        <v>506</v>
      </c>
      <c r="E18" s="362" t="s">
        <v>507</v>
      </c>
      <c r="F18" s="157" t="s">
        <v>506</v>
      </c>
      <c r="G18" s="362" t="s">
        <v>1238</v>
      </c>
      <c r="H18" s="157" t="s">
        <v>506</v>
      </c>
      <c r="I18" s="362" t="s">
        <v>507</v>
      </c>
      <c r="J18" s="157" t="s">
        <v>506</v>
      </c>
      <c r="K18" s="362" t="s">
        <v>507</v>
      </c>
      <c r="L18" s="157" t="s">
        <v>506</v>
      </c>
      <c r="M18" s="362" t="s">
        <v>507</v>
      </c>
      <c r="N18" s="1834"/>
    </row>
    <row r="19" spans="1:14" ht="20.100000000000001" customHeight="1">
      <c r="A19" s="134" t="s">
        <v>955</v>
      </c>
      <c r="B19" s="269" t="s">
        <v>956</v>
      </c>
      <c r="C19" s="209" t="s">
        <v>957</v>
      </c>
      <c r="D19" s="269" t="s">
        <v>958</v>
      </c>
      <c r="E19" s="209" t="s">
        <v>959</v>
      </c>
      <c r="F19" s="269" t="s">
        <v>961</v>
      </c>
      <c r="G19" s="209" t="s">
        <v>962</v>
      </c>
      <c r="H19" s="269" t="s">
        <v>990</v>
      </c>
      <c r="I19" s="209" t="s">
        <v>991</v>
      </c>
      <c r="J19" s="269" t="s">
        <v>992</v>
      </c>
      <c r="K19" s="209" t="s">
        <v>993</v>
      </c>
      <c r="L19" s="269" t="s">
        <v>1046</v>
      </c>
      <c r="M19" s="209" t="s">
        <v>1048</v>
      </c>
      <c r="N19" s="290" t="s">
        <v>1049</v>
      </c>
    </row>
    <row r="20" spans="1:14" ht="24.75" customHeight="1">
      <c r="A20" s="278" t="s">
        <v>338</v>
      </c>
      <c r="B20" s="187">
        <v>542502</v>
      </c>
      <c r="C20" s="187">
        <v>239706</v>
      </c>
      <c r="D20" s="187">
        <v>37397</v>
      </c>
      <c r="E20" s="187">
        <v>57039</v>
      </c>
      <c r="F20" s="187">
        <v>4312</v>
      </c>
      <c r="G20" s="187">
        <v>11684</v>
      </c>
      <c r="H20" s="187">
        <v>159</v>
      </c>
      <c r="I20" s="187">
        <v>868</v>
      </c>
      <c r="J20" s="187">
        <v>6</v>
      </c>
      <c r="K20" s="187">
        <v>62</v>
      </c>
      <c r="L20" s="1237">
        <f>SUM(B20,D20,F20,H20,J20)</f>
        <v>584376</v>
      </c>
      <c r="M20" s="1237">
        <f>SUM(C20,E20,G20,I20,K20)</f>
        <v>309359</v>
      </c>
      <c r="N20" s="909">
        <f>ROUND(M20/L20,2)</f>
        <v>0.53</v>
      </c>
    </row>
    <row r="21" spans="1:14" ht="24.75" customHeight="1">
      <c r="A21" s="283" t="s">
        <v>306</v>
      </c>
      <c r="B21" s="257">
        <v>550508</v>
      </c>
      <c r="C21" s="257">
        <v>245225</v>
      </c>
      <c r="D21" s="257">
        <v>35149</v>
      </c>
      <c r="E21" s="257">
        <v>54197</v>
      </c>
      <c r="F21" s="257">
        <v>2900</v>
      </c>
      <c r="G21" s="257">
        <v>7785</v>
      </c>
      <c r="H21" s="257">
        <v>119</v>
      </c>
      <c r="I21" s="257">
        <v>636</v>
      </c>
      <c r="J21" s="257">
        <v>10</v>
      </c>
      <c r="K21" s="257">
        <v>114</v>
      </c>
      <c r="L21" s="911">
        <f>SUM(B21,D21,F21,H21,J21)</f>
        <v>588686</v>
      </c>
      <c r="M21" s="911">
        <f>SUM(C21,E21,G21,I21,K21)</f>
        <v>307957</v>
      </c>
      <c r="N21" s="910">
        <f>ROUND(M21/L21,2)</f>
        <v>0.52</v>
      </c>
    </row>
    <row r="22" spans="1:14">
      <c r="A22" s="1123" t="s">
        <v>314</v>
      </c>
      <c r="B22" s="1124" t="s">
        <v>1486</v>
      </c>
      <c r="C22" s="1041"/>
      <c r="E22" s="62"/>
      <c r="F22" s="62"/>
      <c r="G22" s="62"/>
      <c r="H22" s="62"/>
      <c r="I22" s="62"/>
      <c r="K22" s="292"/>
      <c r="L22" s="292"/>
      <c r="M22" s="292"/>
      <c r="N22" s="1126" t="s">
        <v>474</v>
      </c>
    </row>
    <row r="23" spans="1:14">
      <c r="A23" s="1125" t="s">
        <v>315</v>
      </c>
      <c r="B23" s="1124" t="s">
        <v>1240</v>
      </c>
      <c r="C23" s="1041"/>
      <c r="E23" s="62"/>
      <c r="F23" s="62"/>
      <c r="G23" s="62"/>
      <c r="H23" s="62"/>
      <c r="I23" s="62"/>
      <c r="J23" s="62"/>
      <c r="K23" s="62"/>
      <c r="L23" s="62"/>
      <c r="M23" s="62"/>
      <c r="N23" s="62"/>
    </row>
    <row r="24" spans="1:14">
      <c r="A24" s="1125" t="s">
        <v>316</v>
      </c>
      <c r="B24" s="1124" t="s">
        <v>374</v>
      </c>
      <c r="C24" s="1041"/>
      <c r="E24" s="62"/>
      <c r="F24" s="62"/>
      <c r="G24" s="62"/>
      <c r="H24" s="62"/>
      <c r="I24" s="62"/>
      <c r="J24" s="62"/>
      <c r="K24" s="62"/>
      <c r="L24" s="62"/>
      <c r="M24" s="62"/>
      <c r="N24" s="62"/>
    </row>
    <row r="25" spans="1:14">
      <c r="A25" s="1125" t="s">
        <v>317</v>
      </c>
      <c r="B25" s="1124" t="s">
        <v>375</v>
      </c>
      <c r="C25" s="1041"/>
      <c r="E25" s="62"/>
      <c r="F25" s="62"/>
      <c r="G25" s="62"/>
      <c r="H25" s="62"/>
      <c r="I25" s="62"/>
      <c r="J25" s="62"/>
      <c r="K25" s="62"/>
      <c r="L25" s="62"/>
      <c r="M25" s="62"/>
      <c r="N25" s="62"/>
    </row>
    <row r="26" spans="1:14">
      <c r="A26" s="1125" t="s">
        <v>318</v>
      </c>
      <c r="B26" s="1124" t="s">
        <v>1487</v>
      </c>
      <c r="C26" s="1041"/>
      <c r="E26" s="62"/>
      <c r="F26" s="62"/>
      <c r="G26" s="62"/>
      <c r="H26" s="62"/>
      <c r="I26" s="62"/>
      <c r="J26" s="62"/>
      <c r="K26" s="62"/>
      <c r="L26" s="62"/>
      <c r="M26" s="62"/>
      <c r="N26" s="62"/>
    </row>
  </sheetData>
  <mergeCells count="20">
    <mergeCell ref="B7:C7"/>
    <mergeCell ref="B8:C8"/>
    <mergeCell ref="B10:C10"/>
    <mergeCell ref="B2:M2"/>
    <mergeCell ref="B1:M1"/>
    <mergeCell ref="B4:C4"/>
    <mergeCell ref="B5:C5"/>
    <mergeCell ref="B6:C6"/>
    <mergeCell ref="B9:C9"/>
    <mergeCell ref="A13:N13"/>
    <mergeCell ref="H17:I17"/>
    <mergeCell ref="J17:K17"/>
    <mergeCell ref="A14:N14"/>
    <mergeCell ref="A16:A18"/>
    <mergeCell ref="N16:N18"/>
    <mergeCell ref="B17:C17"/>
    <mergeCell ref="F17:G17"/>
    <mergeCell ref="D17:E17"/>
    <mergeCell ref="B16:M16"/>
    <mergeCell ref="L17:M17"/>
  </mergeCells>
  <phoneticPr fontId="0" type="noConversion"/>
  <printOptions horizontalCentered="1"/>
  <pageMargins left="0.1" right="0.1" top="0.45" bottom="0.1" header="0.04" footer="0.1"/>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sheetPr codeName="Sheet37"/>
  <dimension ref="A1:G52"/>
  <sheetViews>
    <sheetView workbookViewId="0">
      <selection activeCell="C3" sqref="C3:C4"/>
    </sheetView>
  </sheetViews>
  <sheetFormatPr defaultRowHeight="12.4" customHeight="1"/>
  <cols>
    <col min="1" max="1" width="2.85546875" customWidth="1"/>
    <col min="2" max="2" width="19.42578125" customWidth="1"/>
    <col min="3" max="3" width="13.28515625" customWidth="1"/>
    <col min="4" max="4" width="13.5703125" customWidth="1"/>
    <col min="5" max="5" width="13.140625" customWidth="1"/>
    <col min="6" max="7" width="13.42578125" customWidth="1"/>
  </cols>
  <sheetData>
    <row r="1" spans="1:7" ht="15" customHeight="1">
      <c r="A1" s="1825" t="s">
        <v>760</v>
      </c>
      <c r="B1" s="1825"/>
      <c r="C1" s="1825"/>
      <c r="D1" s="1825"/>
      <c r="E1" s="1825"/>
      <c r="F1" s="1825"/>
      <c r="G1" s="1825"/>
    </row>
    <row r="2" spans="1:7" ht="36.75" customHeight="1">
      <c r="A2" s="1887" t="str">
        <f>CONCATENATE("Area of Vested Agricultural Land distributed and Number of Beneficiaries 
in the district of ",District!A1)</f>
        <v>Area of Vested Agricultural Land distributed and Number of Beneficiaries 
in the district of Purba Medinipur</v>
      </c>
      <c r="B2" s="1887"/>
      <c r="C2" s="1887"/>
      <c r="D2" s="1887"/>
      <c r="E2" s="1887"/>
      <c r="F2" s="1887"/>
      <c r="G2" s="1887"/>
    </row>
    <row r="3" spans="1:7" ht="12.75" customHeight="1">
      <c r="A3" s="1929" t="s">
        <v>1527</v>
      </c>
      <c r="B3" s="1930"/>
      <c r="C3" s="1837" t="s">
        <v>1528</v>
      </c>
      <c r="D3" s="1827" t="s">
        <v>1529</v>
      </c>
      <c r="E3" s="1827"/>
      <c r="F3" s="1827"/>
      <c r="G3" s="1828"/>
    </row>
    <row r="4" spans="1:7" ht="26.25" customHeight="1">
      <c r="A4" s="1932"/>
      <c r="B4" s="1933"/>
      <c r="C4" s="2128"/>
      <c r="D4" s="231" t="s">
        <v>1033</v>
      </c>
      <c r="E4" s="189" t="s">
        <v>1034</v>
      </c>
      <c r="F4" s="162" t="s">
        <v>1128</v>
      </c>
      <c r="G4" s="160" t="s">
        <v>979</v>
      </c>
    </row>
    <row r="5" spans="1:7" ht="15.75" customHeight="1">
      <c r="A5" s="2121" t="s">
        <v>955</v>
      </c>
      <c r="B5" s="2126"/>
      <c r="C5" s="674" t="s">
        <v>956</v>
      </c>
      <c r="D5" s="518" t="s">
        <v>957</v>
      </c>
      <c r="E5" s="674" t="s">
        <v>958</v>
      </c>
      <c r="F5" s="518" t="s">
        <v>959</v>
      </c>
      <c r="G5" s="674" t="s">
        <v>961</v>
      </c>
    </row>
    <row r="6" spans="1:7" ht="18.75" customHeight="1">
      <c r="A6" s="2132" t="s">
        <v>514</v>
      </c>
      <c r="B6" s="2133"/>
      <c r="C6" s="1202">
        <v>20367</v>
      </c>
      <c r="D6" s="953">
        <v>43316</v>
      </c>
      <c r="E6" s="954">
        <v>12290</v>
      </c>
      <c r="F6" s="953">
        <v>171734</v>
      </c>
      <c r="G6" s="954">
        <f>SUM(D6:F6)</f>
        <v>227340</v>
      </c>
    </row>
    <row r="7" spans="1:7" ht="18.75" customHeight="1">
      <c r="A7" s="1845" t="s">
        <v>1194</v>
      </c>
      <c r="B7" s="1846"/>
      <c r="C7" s="1203">
        <v>20367</v>
      </c>
      <c r="D7" s="955">
        <v>43316</v>
      </c>
      <c r="E7" s="956">
        <v>12290</v>
      </c>
      <c r="F7" s="955">
        <v>171734</v>
      </c>
      <c r="G7" s="956">
        <f>SUM(D7:F7)</f>
        <v>227340</v>
      </c>
    </row>
    <row r="8" spans="1:7" ht="18.75" customHeight="1">
      <c r="A8" s="1845" t="s">
        <v>1220</v>
      </c>
      <c r="B8" s="2125"/>
      <c r="C8" s="1203">
        <v>20407</v>
      </c>
      <c r="D8" s="955">
        <v>44121</v>
      </c>
      <c r="E8" s="956">
        <v>12407</v>
      </c>
      <c r="F8" s="955">
        <v>172759</v>
      </c>
      <c r="G8" s="956">
        <f>SUM(D8:F8)</f>
        <v>229287</v>
      </c>
    </row>
    <row r="9" spans="1:7" ht="18.75" customHeight="1">
      <c r="A9" s="1845" t="s">
        <v>119</v>
      </c>
      <c r="B9" s="2125"/>
      <c r="C9" s="1203">
        <v>20489</v>
      </c>
      <c r="D9" s="955">
        <v>44297</v>
      </c>
      <c r="E9" s="956">
        <v>12457</v>
      </c>
      <c r="F9" s="955">
        <v>173450</v>
      </c>
      <c r="G9" s="956">
        <f>SUM(D9:F9)</f>
        <v>230204</v>
      </c>
    </row>
    <row r="10" spans="1:7" ht="18.75" customHeight="1">
      <c r="A10" s="2130" t="s">
        <v>1104</v>
      </c>
      <c r="B10" s="2131"/>
      <c r="C10" s="1204">
        <v>19026</v>
      </c>
      <c r="D10" s="957">
        <v>41042</v>
      </c>
      <c r="E10" s="958">
        <v>5300</v>
      </c>
      <c r="F10" s="957">
        <v>185050</v>
      </c>
      <c r="G10" s="958">
        <f>SUM(D10:F10)</f>
        <v>231392</v>
      </c>
    </row>
    <row r="11" spans="1:7" ht="12.75" customHeight="1">
      <c r="A11" s="690"/>
      <c r="B11" s="690"/>
      <c r="C11" s="104"/>
      <c r="D11" s="104"/>
      <c r="E11" s="104"/>
      <c r="G11" s="1126" t="s">
        <v>1458</v>
      </c>
    </row>
    <row r="12" spans="1:7" ht="13.5" customHeight="1">
      <c r="A12" s="498"/>
      <c r="B12" s="498"/>
      <c r="D12" s="292"/>
      <c r="E12" s="292"/>
      <c r="F12" s="292"/>
    </row>
    <row r="13" spans="1:7" ht="12.4" customHeight="1">
      <c r="A13" s="1825" t="s">
        <v>759</v>
      </c>
      <c r="B13" s="1825"/>
      <c r="C13" s="1825"/>
      <c r="D13" s="1825"/>
      <c r="E13" s="1825"/>
      <c r="F13" s="1825"/>
      <c r="G13" s="1825"/>
    </row>
    <row r="14" spans="1:7" ht="16.5" customHeight="1">
      <c r="A14" s="2129" t="str">
        <f>CONCATENATE("Area under Principal Crops in the district of ",District!A1)</f>
        <v>Area under Principal Crops in the district of Purba Medinipur</v>
      </c>
      <c r="B14" s="2129"/>
      <c r="C14" s="2129"/>
      <c r="D14" s="2129"/>
      <c r="E14" s="2129"/>
      <c r="F14" s="2129"/>
      <c r="G14" s="2129"/>
    </row>
    <row r="15" spans="1:7" ht="12.4" customHeight="1">
      <c r="A15" s="7"/>
      <c r="B15" s="497"/>
      <c r="C15" s="7"/>
      <c r="D15" s="7"/>
      <c r="E15" s="7"/>
      <c r="F15" s="7"/>
      <c r="G15" s="485" t="s">
        <v>1242</v>
      </c>
    </row>
    <row r="16" spans="1:7" ht="13.5" customHeight="1">
      <c r="A16" s="1895" t="s">
        <v>1497</v>
      </c>
      <c r="B16" s="1897"/>
      <c r="C16" s="1672" t="s">
        <v>1356</v>
      </c>
      <c r="D16" s="456" t="s">
        <v>306</v>
      </c>
      <c r="E16" s="679" t="s">
        <v>1357</v>
      </c>
      <c r="F16" s="456" t="s">
        <v>628</v>
      </c>
      <c r="G16" s="234" t="s">
        <v>1639</v>
      </c>
    </row>
    <row r="17" spans="1:7" ht="13.5" customHeight="1">
      <c r="A17" s="2094" t="s">
        <v>955</v>
      </c>
      <c r="B17" s="2127"/>
      <c r="C17" s="135" t="s">
        <v>956</v>
      </c>
      <c r="D17" s="134" t="s">
        <v>957</v>
      </c>
      <c r="E17" s="135" t="s">
        <v>958</v>
      </c>
      <c r="F17" s="134" t="s">
        <v>959</v>
      </c>
      <c r="G17" s="134" t="s">
        <v>961</v>
      </c>
    </row>
    <row r="18" spans="1:7" ht="13.5" customHeight="1">
      <c r="A18" s="268" t="s">
        <v>1488</v>
      </c>
      <c r="B18" s="105"/>
      <c r="D18" s="72"/>
      <c r="F18" s="72"/>
      <c r="G18" s="364"/>
    </row>
    <row r="19" spans="1:7" ht="13.5" customHeight="1">
      <c r="A19" s="297" t="s">
        <v>1489</v>
      </c>
      <c r="B19" s="299" t="s">
        <v>1367</v>
      </c>
      <c r="C19" s="372">
        <f>SUM(C20:C22)</f>
        <v>440.4</v>
      </c>
      <c r="D19" s="300">
        <f>SUM(D20:D22)</f>
        <v>449.5</v>
      </c>
      <c r="E19" s="300">
        <f>SUM(E20:E22)</f>
        <v>399.7</v>
      </c>
      <c r="F19" s="300">
        <f>SUM(F20:F22)</f>
        <v>402.4</v>
      </c>
      <c r="G19" s="300">
        <f>SUM(G20:G22)</f>
        <v>388.8</v>
      </c>
    </row>
    <row r="20" spans="1:7" ht="13.5" customHeight="1">
      <c r="A20" s="85"/>
      <c r="B20" s="224" t="s">
        <v>1499</v>
      </c>
      <c r="C20" s="1691">
        <v>13.9</v>
      </c>
      <c r="D20" s="86">
        <v>14.7</v>
      </c>
      <c r="E20" s="375">
        <v>13</v>
      </c>
      <c r="F20" s="375">
        <v>11.4</v>
      </c>
      <c r="G20" s="375">
        <v>11.5</v>
      </c>
    </row>
    <row r="21" spans="1:7" ht="13.5" customHeight="1">
      <c r="A21" s="85"/>
      <c r="B21" s="224" t="s">
        <v>1500</v>
      </c>
      <c r="C21" s="1691">
        <v>264.10000000000002</v>
      </c>
      <c r="D21" s="86">
        <v>266.39999999999998</v>
      </c>
      <c r="E21" s="86">
        <v>259.89999999999998</v>
      </c>
      <c r="F21" s="86">
        <v>256</v>
      </c>
      <c r="G21" s="86">
        <v>237.3</v>
      </c>
    </row>
    <row r="22" spans="1:7" ht="13.5" customHeight="1">
      <c r="A22" s="85"/>
      <c r="B22" s="224" t="s">
        <v>1501</v>
      </c>
      <c r="C22" s="1691">
        <v>162.4</v>
      </c>
      <c r="D22" s="86">
        <v>168.4</v>
      </c>
      <c r="E22" s="86">
        <v>126.8</v>
      </c>
      <c r="F22" s="86">
        <v>135</v>
      </c>
      <c r="G22" s="375">
        <v>140</v>
      </c>
    </row>
    <row r="23" spans="1:7" ht="13.5" customHeight="1">
      <c r="A23" s="297" t="s">
        <v>1490</v>
      </c>
      <c r="B23" s="224" t="s">
        <v>1502</v>
      </c>
      <c r="C23" s="98">
        <v>0.5</v>
      </c>
      <c r="D23" s="749">
        <v>0.5</v>
      </c>
      <c r="E23" s="749">
        <v>0.5</v>
      </c>
      <c r="F23" s="749">
        <v>0.5</v>
      </c>
      <c r="G23" s="749">
        <v>0.5</v>
      </c>
    </row>
    <row r="24" spans="1:7" ht="13.5" customHeight="1">
      <c r="A24" s="297" t="s">
        <v>1491</v>
      </c>
      <c r="B24" s="224" t="s">
        <v>1503</v>
      </c>
      <c r="C24" s="1617" t="s">
        <v>1384</v>
      </c>
      <c r="D24" s="86" t="s">
        <v>1384</v>
      </c>
      <c r="E24" s="86" t="s">
        <v>1384</v>
      </c>
      <c r="F24" s="86" t="s">
        <v>1384</v>
      </c>
      <c r="G24" s="86" t="s">
        <v>1384</v>
      </c>
    </row>
    <row r="25" spans="1:7" ht="13.5" customHeight="1">
      <c r="A25" s="297" t="s">
        <v>1492</v>
      </c>
      <c r="B25" s="224" t="s">
        <v>1504</v>
      </c>
      <c r="C25" s="1699" t="s">
        <v>1384</v>
      </c>
      <c r="D25" s="122" t="s">
        <v>1384</v>
      </c>
      <c r="E25" s="749">
        <v>0.1</v>
      </c>
      <c r="F25" s="749">
        <v>0.1</v>
      </c>
      <c r="G25" s="749">
        <v>0.1</v>
      </c>
    </row>
    <row r="26" spans="1:7" ht="13.5" customHeight="1">
      <c r="A26" s="297" t="s">
        <v>1493</v>
      </c>
      <c r="B26" s="224" t="s">
        <v>1505</v>
      </c>
      <c r="C26" s="1699" t="s">
        <v>1384</v>
      </c>
      <c r="D26" s="122" t="s">
        <v>1384</v>
      </c>
      <c r="E26" s="122" t="s">
        <v>1384</v>
      </c>
      <c r="F26" s="122" t="s">
        <v>1384</v>
      </c>
      <c r="G26" s="122" t="s">
        <v>1384</v>
      </c>
    </row>
    <row r="27" spans="1:7" ht="13.5" customHeight="1">
      <c r="A27" s="57"/>
      <c r="B27" s="293" t="s">
        <v>1506</v>
      </c>
      <c r="C27" s="373">
        <f>SUM(C23:C26)+C19</f>
        <v>440.9</v>
      </c>
      <c r="D27" s="301">
        <f>SUM(D23:D26)+D19</f>
        <v>450</v>
      </c>
      <c r="E27" s="301">
        <f>SUM(E23:E26)+E19</f>
        <v>400.3</v>
      </c>
      <c r="F27" s="301">
        <f>SUM(F23:F26)+F19</f>
        <v>403</v>
      </c>
      <c r="G27" s="301">
        <f>SUM(G23:G26)+G19</f>
        <v>389.40000000000003</v>
      </c>
    </row>
    <row r="28" spans="1:7" ht="13.5" customHeight="1">
      <c r="A28" s="297" t="s">
        <v>1494</v>
      </c>
      <c r="B28" s="224" t="s">
        <v>999</v>
      </c>
      <c r="C28" s="1699" t="s">
        <v>1384</v>
      </c>
      <c r="D28" s="810" t="s">
        <v>1384</v>
      </c>
      <c r="E28" s="810" t="s">
        <v>1384</v>
      </c>
      <c r="F28" s="122" t="s">
        <v>1384</v>
      </c>
      <c r="G28" s="122" t="s">
        <v>1384</v>
      </c>
    </row>
    <row r="29" spans="1:7" ht="13.5" customHeight="1">
      <c r="A29" s="297" t="s">
        <v>1495</v>
      </c>
      <c r="B29" s="224" t="s">
        <v>1510</v>
      </c>
      <c r="C29" s="1699" t="s">
        <v>1384</v>
      </c>
      <c r="D29" s="810" t="s">
        <v>1384</v>
      </c>
      <c r="E29" s="810" t="s">
        <v>1384</v>
      </c>
      <c r="F29" s="749" t="s">
        <v>1102</v>
      </c>
      <c r="G29" s="1700" t="s">
        <v>1384</v>
      </c>
    </row>
    <row r="30" spans="1:7" ht="13.5" customHeight="1">
      <c r="A30" s="297" t="s">
        <v>1496</v>
      </c>
      <c r="B30" s="224" t="s">
        <v>1511</v>
      </c>
      <c r="C30" s="94">
        <v>9</v>
      </c>
      <c r="D30" s="375">
        <v>6.9</v>
      </c>
      <c r="E30" s="375">
        <v>7.1</v>
      </c>
      <c r="F30" s="375">
        <v>7.1</v>
      </c>
      <c r="G30" s="375">
        <v>8.3000000000000007</v>
      </c>
    </row>
    <row r="31" spans="1:7" ht="13.5" customHeight="1">
      <c r="A31" s="57"/>
      <c r="B31" s="95" t="s">
        <v>1512</v>
      </c>
      <c r="C31" s="374">
        <f>SUM(C28:C30)</f>
        <v>9</v>
      </c>
      <c r="D31" s="103">
        <f>SUM(D28:D30)</f>
        <v>6.9</v>
      </c>
      <c r="E31" s="103">
        <f>SUM(E28:E30)</f>
        <v>7.1</v>
      </c>
      <c r="F31" s="103">
        <f>SUM(F28:F30)</f>
        <v>7.1</v>
      </c>
      <c r="G31" s="103">
        <f>SUM(G28:G30)</f>
        <v>8.3000000000000007</v>
      </c>
    </row>
    <row r="32" spans="1:7" ht="13.5" customHeight="1">
      <c r="A32" s="34"/>
      <c r="B32" s="293" t="s">
        <v>1513</v>
      </c>
      <c r="C32" s="373">
        <f>C27+C31</f>
        <v>449.9</v>
      </c>
      <c r="D32" s="301">
        <f>D27+D31</f>
        <v>456.9</v>
      </c>
      <c r="E32" s="301">
        <f>E27+E31</f>
        <v>407.40000000000003</v>
      </c>
      <c r="F32" s="301">
        <f>F27+F31</f>
        <v>410.1</v>
      </c>
      <c r="G32" s="301">
        <f>G27+G31</f>
        <v>397.70000000000005</v>
      </c>
    </row>
    <row r="33" spans="1:7" ht="13.5" customHeight="1">
      <c r="A33" s="268" t="s">
        <v>1596</v>
      </c>
      <c r="B33" s="31"/>
      <c r="C33" s="86"/>
      <c r="D33" s="1691"/>
      <c r="E33" s="86"/>
      <c r="F33" s="86"/>
      <c r="G33" s="86"/>
    </row>
    <row r="34" spans="1:7" ht="13.5" customHeight="1">
      <c r="A34" s="297" t="s">
        <v>1489</v>
      </c>
      <c r="B34" s="224" t="s">
        <v>1260</v>
      </c>
      <c r="C34" s="94">
        <v>3.5</v>
      </c>
      <c r="D34" s="375">
        <v>6.4</v>
      </c>
      <c r="E34" s="375">
        <v>7.4</v>
      </c>
      <c r="F34" s="375">
        <v>1.2</v>
      </c>
      <c r="G34" s="375">
        <v>1.5</v>
      </c>
    </row>
    <row r="35" spans="1:7" ht="13.5" customHeight="1">
      <c r="A35" s="297" t="s">
        <v>1490</v>
      </c>
      <c r="B35" s="224" t="s">
        <v>402</v>
      </c>
      <c r="C35" s="101" t="s">
        <v>1384</v>
      </c>
      <c r="D35" s="122" t="s">
        <v>1384</v>
      </c>
      <c r="E35" s="122" t="s">
        <v>1384</v>
      </c>
      <c r="F35" s="122" t="s">
        <v>1384</v>
      </c>
      <c r="G35" s="122" t="s">
        <v>1384</v>
      </c>
    </row>
    <row r="36" spans="1:7" ht="13.5" customHeight="1">
      <c r="A36" s="297" t="s">
        <v>1491</v>
      </c>
      <c r="B36" s="224" t="s">
        <v>1514</v>
      </c>
      <c r="C36" s="94">
        <v>18.2</v>
      </c>
      <c r="D36" s="375">
        <v>15.9</v>
      </c>
      <c r="E36" s="375">
        <v>20</v>
      </c>
      <c r="F36" s="375">
        <v>18.100000000000001</v>
      </c>
      <c r="G36" s="375">
        <v>17.399999999999999</v>
      </c>
    </row>
    <row r="37" spans="1:7" ht="13.5" customHeight="1">
      <c r="A37" s="34"/>
      <c r="B37" s="293" t="s">
        <v>1515</v>
      </c>
      <c r="C37" s="373">
        <f>SUM(C34:C36)</f>
        <v>21.7</v>
      </c>
      <c r="D37" s="301">
        <f>SUM(D34:D36)</f>
        <v>22.3</v>
      </c>
      <c r="E37" s="301">
        <f>SUM(E34:E36)</f>
        <v>27.4</v>
      </c>
      <c r="F37" s="301">
        <f>SUM(F34:F36)</f>
        <v>19.3</v>
      </c>
      <c r="G37" s="301">
        <f>SUM(G34:G36)</f>
        <v>18.899999999999999</v>
      </c>
    </row>
    <row r="38" spans="1:7" ht="13.5" customHeight="1">
      <c r="A38" s="268" t="s">
        <v>239</v>
      </c>
      <c r="B38" s="31"/>
      <c r="C38" s="86"/>
      <c r="D38" s="1691"/>
      <c r="E38" s="86"/>
      <c r="F38" s="86"/>
      <c r="G38" s="86"/>
    </row>
    <row r="39" spans="1:7" ht="13.5" customHeight="1">
      <c r="A39" s="297" t="s">
        <v>1489</v>
      </c>
      <c r="B39" s="224" t="s">
        <v>1516</v>
      </c>
      <c r="C39" s="1691">
        <v>0.5</v>
      </c>
      <c r="D39" s="86">
        <v>0.7</v>
      </c>
      <c r="E39" s="86">
        <v>0.5</v>
      </c>
      <c r="F39" s="86">
        <v>0.5</v>
      </c>
      <c r="G39" s="86">
        <v>0.4</v>
      </c>
    </row>
    <row r="40" spans="1:7" ht="13.5" customHeight="1">
      <c r="A40" s="297" t="s">
        <v>1490</v>
      </c>
      <c r="B40" s="224" t="s">
        <v>1517</v>
      </c>
      <c r="C40" s="101" t="s">
        <v>1384</v>
      </c>
      <c r="D40" s="122" t="s">
        <v>1384</v>
      </c>
      <c r="E40" s="122" t="s">
        <v>1384</v>
      </c>
      <c r="F40" s="122" t="s">
        <v>1384</v>
      </c>
      <c r="G40" s="122" t="s">
        <v>1384</v>
      </c>
    </row>
    <row r="41" spans="1:7" ht="13.5" customHeight="1">
      <c r="A41" s="297" t="s">
        <v>1491</v>
      </c>
      <c r="B41" s="224" t="s">
        <v>1595</v>
      </c>
      <c r="C41" s="1691">
        <v>0.1</v>
      </c>
      <c r="D41" s="86" t="s">
        <v>1102</v>
      </c>
      <c r="E41" s="86">
        <v>0.1</v>
      </c>
      <c r="F41" s="86">
        <v>0.1</v>
      </c>
      <c r="G41" s="375">
        <v>0.1</v>
      </c>
    </row>
    <row r="42" spans="1:7" ht="13.5" customHeight="1">
      <c r="A42" s="57"/>
      <c r="B42" s="293" t="s">
        <v>1594</v>
      </c>
      <c r="C42" s="373">
        <f>SUM(C39:C41)</f>
        <v>0.6</v>
      </c>
      <c r="D42" s="301">
        <f>SUM(D39:D41)</f>
        <v>0.7</v>
      </c>
      <c r="E42" s="301">
        <f>SUM(E39:E41)</f>
        <v>0.6</v>
      </c>
      <c r="F42" s="301">
        <f>SUM(F39:F41)</f>
        <v>0.6</v>
      </c>
      <c r="G42" s="301">
        <f>SUM(G39:G41)</f>
        <v>0.5</v>
      </c>
    </row>
    <row r="43" spans="1:7" ht="13.5" customHeight="1">
      <c r="A43" s="268" t="s">
        <v>1597</v>
      </c>
      <c r="B43" s="31"/>
      <c r="C43" s="86"/>
      <c r="D43" s="1691"/>
      <c r="E43" s="86"/>
      <c r="F43" s="86"/>
      <c r="G43" s="86"/>
    </row>
    <row r="44" spans="1:7" ht="13.5" customHeight="1">
      <c r="A44" s="297" t="s">
        <v>1489</v>
      </c>
      <c r="B44" s="224" t="s">
        <v>1518</v>
      </c>
      <c r="C44" s="1691">
        <v>0.2</v>
      </c>
      <c r="D44" s="86" t="s">
        <v>1384</v>
      </c>
      <c r="E44" s="86" t="s">
        <v>1384</v>
      </c>
      <c r="F44" s="86" t="s">
        <v>1384</v>
      </c>
      <c r="G44" s="86" t="s">
        <v>1384</v>
      </c>
    </row>
    <row r="45" spans="1:7" ht="13.5" customHeight="1">
      <c r="A45" s="297" t="s">
        <v>1490</v>
      </c>
      <c r="B45" s="224" t="s">
        <v>1519</v>
      </c>
      <c r="C45" s="1691">
        <v>4.5999999999999996</v>
      </c>
      <c r="D45" s="86">
        <v>4.9000000000000004</v>
      </c>
      <c r="E45" s="86">
        <v>4.4000000000000004</v>
      </c>
      <c r="F45" s="86">
        <v>4.3</v>
      </c>
      <c r="G45" s="86">
        <v>3.8</v>
      </c>
    </row>
    <row r="46" spans="1:7" ht="13.5" customHeight="1">
      <c r="A46" s="297" t="s">
        <v>1491</v>
      </c>
      <c r="B46" s="224" t="s">
        <v>1520</v>
      </c>
      <c r="C46" s="101" t="s">
        <v>1384</v>
      </c>
      <c r="D46" s="122" t="s">
        <v>1384</v>
      </c>
      <c r="E46" s="122" t="s">
        <v>1384</v>
      </c>
      <c r="F46" s="122" t="s">
        <v>1384</v>
      </c>
      <c r="G46" s="122" t="s">
        <v>1384</v>
      </c>
    </row>
    <row r="47" spans="1:7" ht="13.5" customHeight="1">
      <c r="A47" s="297" t="s">
        <v>1492</v>
      </c>
      <c r="B47" s="224" t="s">
        <v>1521</v>
      </c>
      <c r="C47" s="101" t="s">
        <v>1384</v>
      </c>
      <c r="D47" s="122" t="s">
        <v>1384</v>
      </c>
      <c r="E47" s="122" t="s">
        <v>1384</v>
      </c>
      <c r="F47" s="122" t="s">
        <v>1384</v>
      </c>
      <c r="G47" s="122" t="s">
        <v>1384</v>
      </c>
    </row>
    <row r="48" spans="1:7" ht="13.5" customHeight="1">
      <c r="A48" s="297" t="s">
        <v>1493</v>
      </c>
      <c r="B48" s="224" t="s">
        <v>1522</v>
      </c>
      <c r="C48" s="1691">
        <v>3.4</v>
      </c>
      <c r="D48" s="86">
        <v>3.4</v>
      </c>
      <c r="E48" s="86">
        <v>3.5</v>
      </c>
      <c r="F48" s="86">
        <v>3.4</v>
      </c>
      <c r="G48" s="86">
        <v>3.4</v>
      </c>
    </row>
    <row r="49" spans="1:7" ht="13.5" customHeight="1">
      <c r="A49" s="297" t="s">
        <v>1494</v>
      </c>
      <c r="B49" s="224" t="s">
        <v>1523</v>
      </c>
      <c r="C49" s="1691">
        <v>1.2</v>
      </c>
      <c r="D49" s="86">
        <v>1.2</v>
      </c>
      <c r="E49" s="86">
        <v>1.2</v>
      </c>
      <c r="F49" s="86">
        <v>1.2</v>
      </c>
      <c r="G49" s="86">
        <v>1.2</v>
      </c>
    </row>
    <row r="50" spans="1:7" ht="13.5" customHeight="1">
      <c r="A50" s="882" t="s">
        <v>1524</v>
      </c>
      <c r="B50" s="32"/>
      <c r="C50" s="376">
        <f>SUM(C44:C49)</f>
        <v>9.3999999999999986</v>
      </c>
      <c r="D50" s="371">
        <f>SUM(D44:D49)</f>
        <v>9.5</v>
      </c>
      <c r="E50" s="371">
        <f>SUM(E44:E49)</f>
        <v>9.1</v>
      </c>
      <c r="F50" s="371">
        <f>SUM(F44:F49)</f>
        <v>8.8999999999999986</v>
      </c>
      <c r="G50" s="371">
        <f>SUM(G44:G49)</f>
        <v>8.3999999999999986</v>
      </c>
    </row>
    <row r="51" spans="1:7" ht="12.4" customHeight="1">
      <c r="A51" s="1111" t="s">
        <v>1160</v>
      </c>
      <c r="B51" s="1109"/>
      <c r="D51" s="1120" t="s">
        <v>1525</v>
      </c>
      <c r="E51" s="1108" t="s">
        <v>1179</v>
      </c>
      <c r="F51" s="263"/>
      <c r="G51" s="263"/>
    </row>
    <row r="52" spans="1:7" ht="12.4" customHeight="1">
      <c r="A52" s="567"/>
      <c r="D52" s="1108"/>
      <c r="E52" s="1108" t="s">
        <v>1459</v>
      </c>
      <c r="F52" s="263"/>
      <c r="G52" s="263"/>
    </row>
  </sheetData>
  <mergeCells count="15">
    <mergeCell ref="A1:G1"/>
    <mergeCell ref="D3:G3"/>
    <mergeCell ref="A3:B4"/>
    <mergeCell ref="A2:G2"/>
    <mergeCell ref="A6:B6"/>
    <mergeCell ref="A7:B7"/>
    <mergeCell ref="A8:B8"/>
    <mergeCell ref="A5:B5"/>
    <mergeCell ref="A17:B17"/>
    <mergeCell ref="C3:C4"/>
    <mergeCell ref="A13:G13"/>
    <mergeCell ref="A14:G14"/>
    <mergeCell ref="A16:B16"/>
    <mergeCell ref="A10:B10"/>
    <mergeCell ref="A9:B9"/>
  </mergeCells>
  <phoneticPr fontId="0" type="noConversion"/>
  <printOptions horizontalCentered="1"/>
  <pageMargins left="0.1" right="0.1" top="0.66" bottom="0.1" header="0.55000000000000004" footer="0.1"/>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dimension ref="A1:K42"/>
  <sheetViews>
    <sheetView workbookViewId="0">
      <selection activeCell="C3" sqref="C3"/>
    </sheetView>
  </sheetViews>
  <sheetFormatPr defaultRowHeight="12.75"/>
  <cols>
    <col min="1" max="1" width="3.42578125" customWidth="1"/>
    <col min="2" max="2" width="18.140625" customWidth="1"/>
    <col min="3" max="7" width="12.7109375" customWidth="1"/>
  </cols>
  <sheetData>
    <row r="1" spans="1:11" ht="13.5" customHeight="1">
      <c r="A1" s="1825" t="s">
        <v>758</v>
      </c>
      <c r="B1" s="1825"/>
      <c r="C1" s="1825"/>
      <c r="D1" s="1825"/>
      <c r="E1" s="1825"/>
      <c r="F1" s="1825"/>
      <c r="G1" s="1825"/>
    </row>
    <row r="2" spans="1:11" ht="17.25" customHeight="1">
      <c r="A2" s="2129" t="str">
        <f>CONCATENATE("Production of Principal Crops in the district of ",District!A1)</f>
        <v>Production of Principal Crops in the district of Purba Medinipur</v>
      </c>
      <c r="B2" s="2129"/>
      <c r="C2" s="2129"/>
      <c r="D2" s="2129"/>
      <c r="E2" s="2129"/>
      <c r="F2" s="2129"/>
      <c r="G2" s="2129"/>
      <c r="H2" s="26"/>
      <c r="I2" s="26"/>
      <c r="J2" s="26"/>
      <c r="K2" s="26"/>
    </row>
    <row r="3" spans="1:11" ht="12.75" customHeight="1">
      <c r="A3" s="7"/>
      <c r="B3" s="7"/>
      <c r="C3" s="7"/>
      <c r="D3" s="7"/>
      <c r="E3" s="7"/>
      <c r="F3" s="7"/>
      <c r="G3" s="204" t="s">
        <v>1243</v>
      </c>
    </row>
    <row r="4" spans="1:11" ht="15.95" customHeight="1">
      <c r="A4" s="1829" t="s">
        <v>1497</v>
      </c>
      <c r="B4" s="1828"/>
      <c r="C4" s="1672" t="s">
        <v>1356</v>
      </c>
      <c r="D4" s="456" t="s">
        <v>306</v>
      </c>
      <c r="E4" s="679" t="s">
        <v>1357</v>
      </c>
      <c r="F4" s="456" t="s">
        <v>628</v>
      </c>
      <c r="G4" s="234" t="s">
        <v>1639</v>
      </c>
    </row>
    <row r="5" spans="1:11" ht="15.95" customHeight="1">
      <c r="A5" s="2094" t="s">
        <v>955</v>
      </c>
      <c r="B5" s="2127"/>
      <c r="C5" s="135" t="s">
        <v>956</v>
      </c>
      <c r="D5" s="137" t="s">
        <v>957</v>
      </c>
      <c r="E5" s="137" t="s">
        <v>958</v>
      </c>
      <c r="F5" s="137" t="s">
        <v>959</v>
      </c>
      <c r="G5" s="134" t="s">
        <v>961</v>
      </c>
    </row>
    <row r="6" spans="1:11" ht="18" customHeight="1">
      <c r="A6" s="633" t="s">
        <v>1488</v>
      </c>
      <c r="B6" s="542"/>
      <c r="C6" s="128"/>
      <c r="D6" s="149"/>
      <c r="E6" s="149"/>
      <c r="F6" s="149"/>
      <c r="G6" s="537"/>
    </row>
    <row r="7" spans="1:11" ht="18" customHeight="1">
      <c r="A7" s="366" t="s">
        <v>1489</v>
      </c>
      <c r="B7" s="634" t="s">
        <v>1367</v>
      </c>
      <c r="C7" s="541">
        <f>SUM(C8:C10)</f>
        <v>1038.0999999999999</v>
      </c>
      <c r="D7" s="572">
        <f>SUM(D8:D10)</f>
        <v>1228.8000000000002</v>
      </c>
      <c r="E7" s="572">
        <f>SUM(E8:E10)</f>
        <v>1010.2</v>
      </c>
      <c r="F7" s="572">
        <f>SUM(F8:F10)</f>
        <v>1060.3000000000002</v>
      </c>
      <c r="G7" s="572">
        <f>SUM(G8:G10)</f>
        <v>876.3</v>
      </c>
    </row>
    <row r="8" spans="1:11" ht="18" customHeight="1">
      <c r="A8" s="366"/>
      <c r="B8" s="367" t="s">
        <v>1499</v>
      </c>
      <c r="C8" s="1697">
        <v>24.8</v>
      </c>
      <c r="D8" s="1697">
        <v>30.1</v>
      </c>
      <c r="E8" s="1697">
        <v>24.2</v>
      </c>
      <c r="F8" s="1697">
        <v>22.5</v>
      </c>
      <c r="G8" s="110">
        <v>23.3</v>
      </c>
    </row>
    <row r="9" spans="1:11" ht="18" customHeight="1">
      <c r="A9" s="366"/>
      <c r="B9" s="367" t="s">
        <v>1500</v>
      </c>
      <c r="C9" s="1697">
        <v>536.9</v>
      </c>
      <c r="D9" s="1697">
        <v>608.70000000000005</v>
      </c>
      <c r="E9" s="1697">
        <v>547.6</v>
      </c>
      <c r="F9" s="1697">
        <v>590.70000000000005</v>
      </c>
      <c r="G9" s="110">
        <v>376.1</v>
      </c>
    </row>
    <row r="10" spans="1:11" ht="18" customHeight="1">
      <c r="A10" s="366"/>
      <c r="B10" s="367" t="s">
        <v>1501</v>
      </c>
      <c r="C10" s="1697">
        <v>476.4</v>
      </c>
      <c r="D10" s="640">
        <v>590</v>
      </c>
      <c r="E10" s="640">
        <v>438.4</v>
      </c>
      <c r="F10" s="640">
        <v>447.1</v>
      </c>
      <c r="G10" s="640">
        <v>476.9</v>
      </c>
    </row>
    <row r="11" spans="1:11" ht="18" customHeight="1">
      <c r="A11" s="366" t="s">
        <v>1490</v>
      </c>
      <c r="B11" s="367" t="s">
        <v>1502</v>
      </c>
      <c r="C11" s="1697">
        <v>1.2</v>
      </c>
      <c r="D11" s="1697">
        <v>1.5</v>
      </c>
      <c r="E11" s="1697">
        <v>1.2</v>
      </c>
      <c r="F11" s="1697">
        <v>1.3</v>
      </c>
      <c r="G11" s="110">
        <v>1.3</v>
      </c>
    </row>
    <row r="12" spans="1:11" ht="18" customHeight="1">
      <c r="A12" s="366" t="s">
        <v>1491</v>
      </c>
      <c r="B12" s="367" t="s">
        <v>1503</v>
      </c>
      <c r="C12" s="811" t="s">
        <v>1384</v>
      </c>
      <c r="D12" s="145" t="s">
        <v>1384</v>
      </c>
      <c r="E12" s="145" t="s">
        <v>1384</v>
      </c>
      <c r="F12" s="145" t="s">
        <v>1384</v>
      </c>
      <c r="G12" s="145" t="s">
        <v>1384</v>
      </c>
    </row>
    <row r="13" spans="1:11" ht="18" customHeight="1">
      <c r="A13" s="366" t="s">
        <v>1492</v>
      </c>
      <c r="B13" s="367" t="s">
        <v>1504</v>
      </c>
      <c r="C13" s="811" t="s">
        <v>1384</v>
      </c>
      <c r="D13" s="145" t="s">
        <v>1384</v>
      </c>
      <c r="E13" s="1673">
        <v>0.2</v>
      </c>
      <c r="F13" s="1673">
        <v>0.1</v>
      </c>
      <c r="G13" s="1701">
        <v>0.2</v>
      </c>
    </row>
    <row r="14" spans="1:11" ht="18" customHeight="1">
      <c r="A14" s="366" t="s">
        <v>1493</v>
      </c>
      <c r="B14" s="367" t="s">
        <v>1505</v>
      </c>
      <c r="C14" s="811" t="s">
        <v>1384</v>
      </c>
      <c r="D14" s="145" t="s">
        <v>1384</v>
      </c>
      <c r="E14" s="145" t="s">
        <v>1384</v>
      </c>
      <c r="F14" s="145" t="s">
        <v>1384</v>
      </c>
      <c r="G14" s="145" t="s">
        <v>1384</v>
      </c>
    </row>
    <row r="15" spans="1:11" ht="18" customHeight="1">
      <c r="A15" s="149"/>
      <c r="B15" s="545" t="s">
        <v>1506</v>
      </c>
      <c r="C15" s="635">
        <f>SUM(C11:C14)+C7</f>
        <v>1039.3</v>
      </c>
      <c r="D15" s="547">
        <f>SUM(D11:D14)+D7</f>
        <v>1230.3000000000002</v>
      </c>
      <c r="E15" s="547">
        <f>SUM(E11:E14)+E7</f>
        <v>1011.6</v>
      </c>
      <c r="F15" s="547">
        <f>SUM(F11:F14)+F7</f>
        <v>1061.7000000000003</v>
      </c>
      <c r="G15" s="547">
        <f>SUM(G11:G14)+G7</f>
        <v>877.8</v>
      </c>
      <c r="H15" s="10"/>
    </row>
    <row r="16" spans="1:11" ht="18" customHeight="1">
      <c r="A16" s="366" t="s">
        <v>1494</v>
      </c>
      <c r="B16" s="367" t="s">
        <v>999</v>
      </c>
      <c r="C16" s="145" t="s">
        <v>1384</v>
      </c>
      <c r="D16" s="145" t="s">
        <v>1384</v>
      </c>
      <c r="E16" s="145" t="s">
        <v>1384</v>
      </c>
      <c r="F16" s="145" t="s">
        <v>1384</v>
      </c>
      <c r="G16" s="145" t="s">
        <v>1384</v>
      </c>
    </row>
    <row r="17" spans="1:8" ht="18" customHeight="1">
      <c r="A17" s="366" t="s">
        <v>1495</v>
      </c>
      <c r="B17" s="367" t="s">
        <v>1510</v>
      </c>
      <c r="C17" s="811" t="s">
        <v>1384</v>
      </c>
      <c r="D17" s="811" t="s">
        <v>1384</v>
      </c>
      <c r="E17" s="811" t="s">
        <v>1384</v>
      </c>
      <c r="F17" s="1673" t="s">
        <v>1109</v>
      </c>
      <c r="G17" s="956" t="s">
        <v>1384</v>
      </c>
    </row>
    <row r="18" spans="1:8" ht="18" customHeight="1">
      <c r="A18" s="366" t="s">
        <v>1496</v>
      </c>
      <c r="B18" s="367" t="s">
        <v>1511</v>
      </c>
      <c r="C18" s="640">
        <v>0.9</v>
      </c>
      <c r="D18" s="640">
        <v>9.1999999999999993</v>
      </c>
      <c r="E18" s="640">
        <v>9.4</v>
      </c>
      <c r="F18" s="640">
        <v>11.8</v>
      </c>
      <c r="G18" s="640">
        <v>11.9</v>
      </c>
    </row>
    <row r="19" spans="1:8" ht="18" customHeight="1">
      <c r="A19" s="149"/>
      <c r="B19" s="636" t="s">
        <v>1512</v>
      </c>
      <c r="C19" s="1195">
        <f>SUM(C16:C18)</f>
        <v>0.9</v>
      </c>
      <c r="D19" s="676">
        <f>SUM(D16:D18)</f>
        <v>9.1999999999999993</v>
      </c>
      <c r="E19" s="676">
        <f>SUM(E16:E18)</f>
        <v>9.4</v>
      </c>
      <c r="F19" s="676">
        <f>SUM(F16:F18)</f>
        <v>11.8</v>
      </c>
      <c r="G19" s="676">
        <f>SUM(G16:G18)</f>
        <v>11.9</v>
      </c>
      <c r="H19" s="10"/>
    </row>
    <row r="20" spans="1:8" ht="18" customHeight="1">
      <c r="A20" s="149"/>
      <c r="B20" s="545" t="s">
        <v>1513</v>
      </c>
      <c r="C20" s="639">
        <f>C15+C19</f>
        <v>1040.2</v>
      </c>
      <c r="D20" s="637">
        <f>D15+D19</f>
        <v>1239.5000000000002</v>
      </c>
      <c r="E20" s="637">
        <f>E15+E19</f>
        <v>1021</v>
      </c>
      <c r="F20" s="637">
        <f>F15+F19</f>
        <v>1073.5000000000002</v>
      </c>
      <c r="G20" s="637">
        <f>G15+G19</f>
        <v>889.69999999999993</v>
      </c>
      <c r="H20" s="10"/>
    </row>
    <row r="21" spans="1:8" ht="18" customHeight="1">
      <c r="A21" s="633" t="s">
        <v>1596</v>
      </c>
      <c r="B21" s="638"/>
      <c r="C21" s="1677"/>
      <c r="D21" s="1697"/>
      <c r="E21" s="1697"/>
      <c r="F21" s="1697"/>
      <c r="G21" s="110"/>
    </row>
    <row r="22" spans="1:8" ht="18" customHeight="1">
      <c r="A22" s="368" t="s">
        <v>1489</v>
      </c>
      <c r="B22" s="367" t="s">
        <v>1260</v>
      </c>
      <c r="C22" s="1697">
        <v>4.2</v>
      </c>
      <c r="D22" s="1697">
        <v>7.1</v>
      </c>
      <c r="E22" s="1697">
        <v>5.4</v>
      </c>
      <c r="F22" s="1697">
        <v>1.6</v>
      </c>
      <c r="G22" s="110">
        <v>1.4</v>
      </c>
    </row>
    <row r="23" spans="1:8" ht="18" customHeight="1">
      <c r="A23" s="368" t="s">
        <v>1490</v>
      </c>
      <c r="B23" s="367" t="s">
        <v>402</v>
      </c>
      <c r="C23" s="145" t="s">
        <v>1384</v>
      </c>
      <c r="D23" s="145" t="s">
        <v>1384</v>
      </c>
      <c r="E23" s="145" t="s">
        <v>1384</v>
      </c>
      <c r="F23" s="145" t="s">
        <v>1384</v>
      </c>
      <c r="G23" s="145" t="s">
        <v>1384</v>
      </c>
    </row>
    <row r="24" spans="1:8" ht="18" customHeight="1">
      <c r="A24" s="368" t="s">
        <v>1491</v>
      </c>
      <c r="B24" s="367" t="s">
        <v>1514</v>
      </c>
      <c r="C24" s="640">
        <v>26</v>
      </c>
      <c r="D24" s="1697">
        <v>23.3</v>
      </c>
      <c r="E24" s="1697">
        <v>73.400000000000006</v>
      </c>
      <c r="F24" s="1697">
        <v>37.6</v>
      </c>
      <c r="G24" s="110">
        <v>37.799999999999997</v>
      </c>
    </row>
    <row r="25" spans="1:8" ht="18" customHeight="1">
      <c r="A25" s="149"/>
      <c r="B25" s="545" t="s">
        <v>1515</v>
      </c>
      <c r="C25" s="639">
        <f>SUM(C22:C24)</f>
        <v>30.2</v>
      </c>
      <c r="D25" s="637">
        <f>SUM(D22:D24)</f>
        <v>30.4</v>
      </c>
      <c r="E25" s="637">
        <f>SUM(E22:E24)</f>
        <v>78.800000000000011</v>
      </c>
      <c r="F25" s="637">
        <f>SUM(F22:F24)</f>
        <v>39.200000000000003</v>
      </c>
      <c r="G25" s="637">
        <f>SUM(G22:G24)</f>
        <v>39.199999999999996</v>
      </c>
    </row>
    <row r="26" spans="1:8" ht="18" customHeight="1">
      <c r="A26" s="633" t="s">
        <v>1258</v>
      </c>
      <c r="B26" s="638"/>
      <c r="C26" s="1677"/>
      <c r="D26" s="1697"/>
      <c r="E26" s="1697"/>
      <c r="F26" s="1697"/>
      <c r="G26" s="110"/>
    </row>
    <row r="27" spans="1:8" ht="18" customHeight="1">
      <c r="A27" s="368" t="s">
        <v>1489</v>
      </c>
      <c r="B27" s="367" t="s">
        <v>1516</v>
      </c>
      <c r="C27" s="640">
        <v>6.9</v>
      </c>
      <c r="D27" s="640">
        <v>11.7</v>
      </c>
      <c r="E27" s="640">
        <v>9.6999999999999993</v>
      </c>
      <c r="F27" s="640">
        <v>7.6</v>
      </c>
      <c r="G27" s="640">
        <v>5</v>
      </c>
    </row>
    <row r="28" spans="1:8" ht="18" customHeight="1">
      <c r="A28" s="368" t="s">
        <v>1490</v>
      </c>
      <c r="B28" s="367" t="s">
        <v>1517</v>
      </c>
      <c r="C28" s="1697" t="s">
        <v>1384</v>
      </c>
      <c r="D28" s="1697" t="s">
        <v>1384</v>
      </c>
      <c r="E28" s="1697" t="s">
        <v>1384</v>
      </c>
      <c r="F28" s="1697" t="s">
        <v>1384</v>
      </c>
      <c r="G28" s="110" t="s">
        <v>1384</v>
      </c>
    </row>
    <row r="29" spans="1:8" ht="18" customHeight="1">
      <c r="A29" s="368" t="s">
        <v>1491</v>
      </c>
      <c r="B29" s="367" t="s">
        <v>1595</v>
      </c>
      <c r="C29" s="640">
        <v>0.4</v>
      </c>
      <c r="D29" s="640">
        <v>0.1</v>
      </c>
      <c r="E29" s="640">
        <v>0.3</v>
      </c>
      <c r="F29" s="640">
        <v>0.3</v>
      </c>
      <c r="G29" s="640">
        <v>0.2</v>
      </c>
    </row>
    <row r="30" spans="1:8" ht="18" customHeight="1">
      <c r="A30" s="149"/>
      <c r="B30" s="545" t="s">
        <v>1594</v>
      </c>
      <c r="C30" s="635">
        <f>SUM(C27:C29)</f>
        <v>7.3000000000000007</v>
      </c>
      <c r="D30" s="547">
        <f>SUM(D27:D29)</f>
        <v>11.799999999999999</v>
      </c>
      <c r="E30" s="637">
        <f>SUM(E27:E29)</f>
        <v>10</v>
      </c>
      <c r="F30" s="637">
        <f>SUM(F27:F29)</f>
        <v>7.8999999999999995</v>
      </c>
      <c r="G30" s="637">
        <f>SUM(G27:G29)</f>
        <v>5.2</v>
      </c>
    </row>
    <row r="31" spans="1:8" ht="18" customHeight="1">
      <c r="A31" s="633" t="s">
        <v>1597</v>
      </c>
      <c r="B31" s="638"/>
      <c r="C31" s="1677"/>
      <c r="D31" s="1697"/>
      <c r="E31" s="1697"/>
      <c r="F31" s="1697"/>
      <c r="G31" s="110"/>
    </row>
    <row r="32" spans="1:8" ht="18" customHeight="1">
      <c r="A32" s="368" t="s">
        <v>1489</v>
      </c>
      <c r="B32" s="367" t="s">
        <v>1518</v>
      </c>
      <c r="C32" s="1697">
        <v>16.2</v>
      </c>
      <c r="D32" s="1697" t="s">
        <v>1384</v>
      </c>
      <c r="E32" s="1697" t="s">
        <v>1384</v>
      </c>
      <c r="F32" s="1697" t="s">
        <v>1384</v>
      </c>
      <c r="G32" s="110" t="s">
        <v>1384</v>
      </c>
    </row>
    <row r="33" spans="1:7" ht="18" customHeight="1">
      <c r="A33" s="368" t="s">
        <v>1490</v>
      </c>
      <c r="B33" s="367" t="s">
        <v>1519</v>
      </c>
      <c r="C33" s="1697">
        <v>129.1</v>
      </c>
      <c r="D33" s="1697">
        <v>129.6</v>
      </c>
      <c r="E33" s="1697">
        <v>111.7</v>
      </c>
      <c r="F33" s="1697">
        <v>108.8</v>
      </c>
      <c r="G33" s="110">
        <v>112.4</v>
      </c>
    </row>
    <row r="34" spans="1:7" ht="18" customHeight="1">
      <c r="A34" s="368" t="s">
        <v>1491</v>
      </c>
      <c r="B34" s="367" t="s">
        <v>1520</v>
      </c>
      <c r="C34" s="145" t="s">
        <v>1384</v>
      </c>
      <c r="D34" s="145" t="s">
        <v>1384</v>
      </c>
      <c r="E34" s="145" t="s">
        <v>1384</v>
      </c>
      <c r="F34" s="145" t="s">
        <v>1384</v>
      </c>
      <c r="G34" s="145" t="s">
        <v>1384</v>
      </c>
    </row>
    <row r="35" spans="1:7" ht="18" customHeight="1">
      <c r="A35" s="368" t="s">
        <v>1492</v>
      </c>
      <c r="B35" s="367" t="s">
        <v>1521</v>
      </c>
      <c r="C35" s="145" t="s">
        <v>1384</v>
      </c>
      <c r="D35" s="145" t="s">
        <v>1384</v>
      </c>
      <c r="E35" s="145" t="s">
        <v>1384</v>
      </c>
      <c r="F35" s="145" t="s">
        <v>1384</v>
      </c>
      <c r="G35" s="145" t="s">
        <v>1384</v>
      </c>
    </row>
    <row r="36" spans="1:7" ht="18" customHeight="1">
      <c r="A36" s="368" t="s">
        <v>1493</v>
      </c>
      <c r="B36" s="367" t="s">
        <v>1522</v>
      </c>
      <c r="C36" s="640">
        <v>6.9</v>
      </c>
      <c r="D36" s="640">
        <v>7</v>
      </c>
      <c r="E36" s="640">
        <v>7</v>
      </c>
      <c r="F36" s="640">
        <v>7</v>
      </c>
      <c r="G36" s="640">
        <v>7</v>
      </c>
    </row>
    <row r="37" spans="1:7" ht="18" customHeight="1">
      <c r="A37" s="368" t="s">
        <v>1494</v>
      </c>
      <c r="B37" s="367" t="s">
        <v>1523</v>
      </c>
      <c r="C37" s="1697">
        <v>1.9</v>
      </c>
      <c r="D37" s="1697">
        <v>1.9</v>
      </c>
      <c r="E37" s="1697">
        <v>1.9</v>
      </c>
      <c r="F37" s="1697">
        <v>1.9</v>
      </c>
      <c r="G37" s="110">
        <v>1.9</v>
      </c>
    </row>
    <row r="38" spans="1:7" ht="18" customHeight="1">
      <c r="A38" s="641" t="s">
        <v>1524</v>
      </c>
      <c r="B38" s="642"/>
      <c r="C38" s="1196">
        <f>SUM(C32:C37)</f>
        <v>154.1</v>
      </c>
      <c r="D38" s="376">
        <f>SUM(D32:D37)</f>
        <v>138.5</v>
      </c>
      <c r="E38" s="376">
        <f>SUM(E32:E37)</f>
        <v>120.60000000000001</v>
      </c>
      <c r="F38" s="376">
        <f>SUM(F32:F37)</f>
        <v>117.7</v>
      </c>
      <c r="G38" s="376">
        <f>SUM(G32:G37)</f>
        <v>121.30000000000001</v>
      </c>
    </row>
    <row r="39" spans="1:7">
      <c r="A39" s="1122" t="s">
        <v>1368</v>
      </c>
      <c r="B39" s="940"/>
      <c r="D39" s="1120" t="s">
        <v>1525</v>
      </c>
      <c r="E39" s="1108" t="s">
        <v>1179</v>
      </c>
      <c r="F39" s="263"/>
      <c r="G39" s="263"/>
    </row>
    <row r="40" spans="1:7">
      <c r="A40" s="202"/>
      <c r="B40" s="704"/>
      <c r="D40" s="1108"/>
      <c r="E40" s="1108" t="s">
        <v>1459</v>
      </c>
      <c r="F40" s="263"/>
      <c r="G40" s="263"/>
    </row>
    <row r="41" spans="1:7">
      <c r="B41" s="202"/>
    </row>
    <row r="42" spans="1:7">
      <c r="A42" s="202"/>
      <c r="B42" s="202"/>
    </row>
  </sheetData>
  <mergeCells count="4">
    <mergeCell ref="A1:G1"/>
    <mergeCell ref="A2:G2"/>
    <mergeCell ref="A4:B4"/>
    <mergeCell ref="A5:B5"/>
  </mergeCells>
  <phoneticPr fontId="0" type="noConversion"/>
  <printOptions horizontalCentered="1"/>
  <pageMargins left="0.1" right="0.14000000000000001" top="0.94" bottom="0.1" header="0.68" footer="0.22"/>
  <pageSetup paperSize="9" orientation="portrait" blackAndWhite="1" r:id="rId1"/>
  <headerFooter alignWithMargins="0"/>
</worksheet>
</file>

<file path=xl/worksheets/sheet45.xml><?xml version="1.0" encoding="utf-8"?>
<worksheet xmlns="http://schemas.openxmlformats.org/spreadsheetml/2006/main" xmlns:r="http://schemas.openxmlformats.org/officeDocument/2006/relationships">
  <dimension ref="A1:K40"/>
  <sheetViews>
    <sheetView topLeftCell="A10" workbookViewId="0">
      <selection activeCell="G11" sqref="G11"/>
    </sheetView>
  </sheetViews>
  <sheetFormatPr defaultRowHeight="12.75"/>
  <cols>
    <col min="1" max="1" width="2.42578125" customWidth="1"/>
    <col min="2" max="2" width="18.5703125" customWidth="1"/>
    <col min="3" max="7" width="12.7109375" customWidth="1"/>
  </cols>
  <sheetData>
    <row r="1" spans="1:11" ht="15.75" customHeight="1">
      <c r="A1" s="1825" t="s">
        <v>757</v>
      </c>
      <c r="B1" s="1825"/>
      <c r="C1" s="1825"/>
      <c r="D1" s="1825"/>
      <c r="E1" s="1825"/>
      <c r="F1" s="1825"/>
      <c r="G1" s="1825"/>
    </row>
    <row r="2" spans="1:11" ht="18" customHeight="1">
      <c r="A2" s="1835" t="str">
        <f>CONCATENATE("Yield rates of Principal Crops in the district of ",District!A1)</f>
        <v>Yield rates of Principal Crops in the district of Purba Medinipur</v>
      </c>
      <c r="B2" s="1835"/>
      <c r="C2" s="1835"/>
      <c r="D2" s="1835"/>
      <c r="E2" s="1835"/>
      <c r="F2" s="1835"/>
      <c r="G2" s="1835"/>
      <c r="H2" s="26"/>
      <c r="I2" s="26"/>
      <c r="J2" s="26"/>
      <c r="K2" s="26"/>
    </row>
    <row r="3" spans="1:11" ht="16.5" customHeight="1">
      <c r="A3" s="7"/>
      <c r="B3" s="7"/>
      <c r="C3" s="7"/>
      <c r="D3" s="7"/>
      <c r="E3" s="7"/>
      <c r="F3" s="7"/>
      <c r="G3" s="204" t="s">
        <v>1530</v>
      </c>
    </row>
    <row r="4" spans="1:11" ht="15.95" customHeight="1">
      <c r="A4" s="1829" t="s">
        <v>1497</v>
      </c>
      <c r="B4" s="1828"/>
      <c r="C4" s="1672" t="s">
        <v>1356</v>
      </c>
      <c r="D4" s="456" t="s">
        <v>306</v>
      </c>
      <c r="E4" s="679" t="s">
        <v>1357</v>
      </c>
      <c r="F4" s="456" t="s">
        <v>628</v>
      </c>
      <c r="G4" s="234" t="s">
        <v>1639</v>
      </c>
    </row>
    <row r="5" spans="1:11" ht="15.95" customHeight="1">
      <c r="A5" s="2094" t="s">
        <v>955</v>
      </c>
      <c r="B5" s="2127"/>
      <c r="C5" s="135" t="s">
        <v>956</v>
      </c>
      <c r="D5" s="137" t="s">
        <v>957</v>
      </c>
      <c r="E5" s="137" t="s">
        <v>958</v>
      </c>
      <c r="F5" s="134" t="s">
        <v>959</v>
      </c>
      <c r="G5" s="134" t="s">
        <v>961</v>
      </c>
    </row>
    <row r="6" spans="1:11" ht="18" customHeight="1">
      <c r="A6" s="1162" t="s">
        <v>1488</v>
      </c>
      <c r="B6" s="643"/>
      <c r="C6" s="1055"/>
      <c r="D6" s="432"/>
      <c r="E6" s="432"/>
      <c r="F6" s="92"/>
      <c r="G6" s="92"/>
    </row>
    <row r="7" spans="1:11" ht="18" customHeight="1">
      <c r="A7" s="644" t="s">
        <v>1489</v>
      </c>
      <c r="B7" s="912" t="s">
        <v>1367</v>
      </c>
      <c r="C7" s="145">
        <v>2357</v>
      </c>
      <c r="D7" s="145">
        <v>2734</v>
      </c>
      <c r="E7" s="145">
        <v>2527</v>
      </c>
      <c r="F7" s="145">
        <v>2635</v>
      </c>
      <c r="G7" s="145">
        <v>2254</v>
      </c>
    </row>
    <row r="8" spans="1:11" ht="18" customHeight="1">
      <c r="A8" s="366"/>
      <c r="B8" s="367" t="s">
        <v>1499</v>
      </c>
      <c r="C8" s="1697">
        <v>1786</v>
      </c>
      <c r="D8" s="1697">
        <v>2050</v>
      </c>
      <c r="E8" s="1697">
        <v>1859</v>
      </c>
      <c r="F8" s="1697">
        <v>1985</v>
      </c>
      <c r="G8" s="110">
        <v>2034</v>
      </c>
    </row>
    <row r="9" spans="1:11" ht="18" customHeight="1">
      <c r="A9" s="366"/>
      <c r="B9" s="367" t="s">
        <v>1500</v>
      </c>
      <c r="C9" s="1697">
        <v>2033</v>
      </c>
      <c r="D9" s="1697">
        <v>2285</v>
      </c>
      <c r="E9" s="1697">
        <v>2107</v>
      </c>
      <c r="F9" s="1697">
        <v>2307</v>
      </c>
      <c r="G9" s="110">
        <v>1585</v>
      </c>
    </row>
    <row r="10" spans="1:11" ht="18" customHeight="1">
      <c r="A10" s="366"/>
      <c r="B10" s="367" t="s">
        <v>1501</v>
      </c>
      <c r="C10" s="1697">
        <v>2934</v>
      </c>
      <c r="D10" s="1697">
        <v>3503</v>
      </c>
      <c r="E10" s="1697">
        <v>3457</v>
      </c>
      <c r="F10" s="1697">
        <v>3310</v>
      </c>
      <c r="G10" s="110">
        <v>3408</v>
      </c>
    </row>
    <row r="11" spans="1:11" ht="18" customHeight="1">
      <c r="A11" s="644" t="s">
        <v>1490</v>
      </c>
      <c r="B11" s="367" t="s">
        <v>1502</v>
      </c>
      <c r="C11" s="1697">
        <v>2449</v>
      </c>
      <c r="D11" s="1697">
        <v>2570</v>
      </c>
      <c r="E11" s="1697">
        <v>2431</v>
      </c>
      <c r="F11" s="1697">
        <v>2564</v>
      </c>
      <c r="G11" s="110">
        <v>2625</v>
      </c>
    </row>
    <row r="12" spans="1:11" ht="18" customHeight="1">
      <c r="A12" s="644" t="s">
        <v>1491</v>
      </c>
      <c r="B12" s="367" t="s">
        <v>1503</v>
      </c>
      <c r="C12" s="145" t="s">
        <v>1384</v>
      </c>
      <c r="D12" s="145" t="s">
        <v>1384</v>
      </c>
      <c r="E12" s="145" t="s">
        <v>1384</v>
      </c>
      <c r="F12" s="145" t="s">
        <v>1384</v>
      </c>
      <c r="G12" s="145" t="s">
        <v>1384</v>
      </c>
    </row>
    <row r="13" spans="1:11" ht="18" customHeight="1">
      <c r="A13" s="644" t="s">
        <v>1492</v>
      </c>
      <c r="B13" s="367" t="s">
        <v>1504</v>
      </c>
      <c r="C13" s="145" t="s">
        <v>1384</v>
      </c>
      <c r="D13" s="145" t="s">
        <v>1384</v>
      </c>
      <c r="E13" s="1673">
        <v>1602</v>
      </c>
      <c r="F13" s="1673">
        <v>1603</v>
      </c>
      <c r="G13" s="391">
        <v>1602</v>
      </c>
    </row>
    <row r="14" spans="1:11" ht="18" customHeight="1">
      <c r="A14" s="644" t="s">
        <v>1493</v>
      </c>
      <c r="B14" s="367" t="s">
        <v>1505</v>
      </c>
      <c r="C14" s="145" t="s">
        <v>1384</v>
      </c>
      <c r="D14" s="145" t="s">
        <v>1384</v>
      </c>
      <c r="E14" s="145" t="s">
        <v>1384</v>
      </c>
      <c r="F14" s="145" t="s">
        <v>1384</v>
      </c>
      <c r="G14" s="145" t="s">
        <v>1384</v>
      </c>
    </row>
    <row r="15" spans="1:11" ht="18" customHeight="1">
      <c r="A15" s="645"/>
      <c r="B15" s="545" t="s">
        <v>1506</v>
      </c>
      <c r="C15" s="547">
        <v>2357</v>
      </c>
      <c r="D15" s="547">
        <v>2734</v>
      </c>
      <c r="E15" s="547">
        <v>2527</v>
      </c>
      <c r="F15" s="547">
        <v>2634</v>
      </c>
      <c r="G15" s="547">
        <v>2255</v>
      </c>
    </row>
    <row r="16" spans="1:11" ht="18" customHeight="1">
      <c r="A16" s="644" t="s">
        <v>1494</v>
      </c>
      <c r="B16" s="367" t="s">
        <v>999</v>
      </c>
      <c r="C16" s="145" t="s">
        <v>1384</v>
      </c>
      <c r="D16" s="145" t="s">
        <v>1384</v>
      </c>
      <c r="E16" s="145" t="s">
        <v>1384</v>
      </c>
      <c r="F16" s="145" t="s">
        <v>1384</v>
      </c>
      <c r="G16" s="145" t="s">
        <v>1384</v>
      </c>
    </row>
    <row r="17" spans="1:7" ht="18" customHeight="1">
      <c r="A17" s="644" t="s">
        <v>1495</v>
      </c>
      <c r="B17" s="367" t="s">
        <v>1510</v>
      </c>
      <c r="C17" s="145" t="s">
        <v>1384</v>
      </c>
      <c r="D17" s="145" t="s">
        <v>1384</v>
      </c>
      <c r="E17" s="145" t="s">
        <v>1384</v>
      </c>
      <c r="F17" s="1673">
        <v>1333</v>
      </c>
      <c r="G17" s="956" t="s">
        <v>1384</v>
      </c>
    </row>
    <row r="18" spans="1:7" ht="18" customHeight="1">
      <c r="A18" s="644" t="s">
        <v>1496</v>
      </c>
      <c r="B18" s="367" t="s">
        <v>1511</v>
      </c>
      <c r="C18" s="1697">
        <v>95</v>
      </c>
      <c r="D18" s="1697">
        <v>1341</v>
      </c>
      <c r="E18" s="1697">
        <v>1332</v>
      </c>
      <c r="F18" s="1697">
        <v>1674</v>
      </c>
      <c r="G18" s="110">
        <v>1437</v>
      </c>
    </row>
    <row r="19" spans="1:7" ht="18" customHeight="1">
      <c r="A19" s="149"/>
      <c r="B19" s="634" t="s">
        <v>1512</v>
      </c>
      <c r="C19" s="572">
        <v>95</v>
      </c>
      <c r="D19" s="572">
        <v>1341</v>
      </c>
      <c r="E19" s="572">
        <v>1332</v>
      </c>
      <c r="F19" s="572">
        <v>1674</v>
      </c>
      <c r="G19" s="572">
        <v>1437</v>
      </c>
    </row>
    <row r="20" spans="1:7" ht="18" customHeight="1">
      <c r="A20" s="149"/>
      <c r="B20" s="545" t="s">
        <v>1513</v>
      </c>
      <c r="C20" s="547">
        <v>2312</v>
      </c>
      <c r="D20" s="547">
        <v>2713</v>
      </c>
      <c r="E20" s="547">
        <v>2506</v>
      </c>
      <c r="F20" s="547">
        <v>2618</v>
      </c>
      <c r="G20" s="547">
        <v>2238</v>
      </c>
    </row>
    <row r="21" spans="1:7" s="296" customFormat="1" ht="18" customHeight="1">
      <c r="A21" s="633" t="s">
        <v>1596</v>
      </c>
      <c r="B21" s="646"/>
      <c r="C21" s="648"/>
      <c r="D21" s="648"/>
      <c r="E21" s="648"/>
      <c r="F21" s="648"/>
      <c r="G21" s="648"/>
    </row>
    <row r="22" spans="1:7" ht="18" customHeight="1">
      <c r="A22" s="563" t="s">
        <v>1489</v>
      </c>
      <c r="B22" s="367" t="s">
        <v>1260</v>
      </c>
      <c r="C22" s="1697">
        <v>1182</v>
      </c>
      <c r="D22" s="1697">
        <v>1107</v>
      </c>
      <c r="E22" s="1697">
        <v>729</v>
      </c>
      <c r="F22" s="1697">
        <v>1280</v>
      </c>
      <c r="G22" s="110">
        <v>955</v>
      </c>
    </row>
    <row r="23" spans="1:7" ht="18" customHeight="1">
      <c r="A23" s="563" t="s">
        <v>1490</v>
      </c>
      <c r="B23" s="367" t="s">
        <v>402</v>
      </c>
      <c r="C23" s="1697" t="s">
        <v>1384</v>
      </c>
      <c r="D23" s="1697" t="s">
        <v>1384</v>
      </c>
      <c r="E23" s="1697" t="s">
        <v>1384</v>
      </c>
      <c r="F23" s="1697" t="s">
        <v>1384</v>
      </c>
      <c r="G23" s="110" t="s">
        <v>1384</v>
      </c>
    </row>
    <row r="24" spans="1:7" ht="18" customHeight="1">
      <c r="A24" s="563" t="s">
        <v>1491</v>
      </c>
      <c r="B24" s="367" t="s">
        <v>1514</v>
      </c>
      <c r="C24" s="1697">
        <v>1434</v>
      </c>
      <c r="D24" s="1697">
        <v>1466</v>
      </c>
      <c r="E24" s="1697">
        <v>3675</v>
      </c>
      <c r="F24" s="1697">
        <v>2077</v>
      </c>
      <c r="G24" s="110">
        <v>2172</v>
      </c>
    </row>
    <row r="25" spans="1:7" ht="18" customHeight="1">
      <c r="A25" s="149"/>
      <c r="B25" s="545" t="s">
        <v>1515</v>
      </c>
      <c r="C25" s="547">
        <v>1393</v>
      </c>
      <c r="D25" s="547">
        <v>1363</v>
      </c>
      <c r="E25" s="547">
        <v>2876</v>
      </c>
      <c r="F25" s="547">
        <v>2030</v>
      </c>
      <c r="G25" s="547">
        <v>2075</v>
      </c>
    </row>
    <row r="26" spans="1:7" ht="18" customHeight="1">
      <c r="A26" s="633" t="s">
        <v>1259</v>
      </c>
      <c r="B26" s="638"/>
      <c r="C26" s="1697"/>
      <c r="D26" s="1697"/>
      <c r="E26" s="1697"/>
      <c r="F26" s="1697"/>
      <c r="G26" s="110"/>
    </row>
    <row r="27" spans="1:7" ht="18" customHeight="1">
      <c r="A27" s="563" t="s">
        <v>1489</v>
      </c>
      <c r="B27" s="367" t="s">
        <v>1516</v>
      </c>
      <c r="C27" s="1697">
        <v>13.8</v>
      </c>
      <c r="D27" s="1697">
        <v>17.5</v>
      </c>
      <c r="E27" s="1697">
        <v>18.7</v>
      </c>
      <c r="F27" s="1697">
        <v>15.7</v>
      </c>
      <c r="G27" s="110">
        <v>13.54</v>
      </c>
    </row>
    <row r="28" spans="1:7" ht="18" customHeight="1">
      <c r="A28" s="563" t="s">
        <v>1490</v>
      </c>
      <c r="B28" s="367" t="s">
        <v>1517</v>
      </c>
      <c r="C28" s="1697" t="s">
        <v>1384</v>
      </c>
      <c r="D28" s="1697" t="s">
        <v>1384</v>
      </c>
      <c r="E28" s="1697" t="s">
        <v>1384</v>
      </c>
      <c r="F28" s="1697" t="s">
        <v>1384</v>
      </c>
      <c r="G28" s="110" t="s">
        <v>1384</v>
      </c>
    </row>
    <row r="29" spans="1:7" ht="18" customHeight="1">
      <c r="A29" s="563" t="s">
        <v>1491</v>
      </c>
      <c r="B29" s="367" t="s">
        <v>1595</v>
      </c>
      <c r="C29" s="640">
        <v>4</v>
      </c>
      <c r="D29" s="640">
        <v>4</v>
      </c>
      <c r="E29" s="640">
        <v>4</v>
      </c>
      <c r="F29" s="640">
        <v>4</v>
      </c>
      <c r="G29" s="640">
        <v>4</v>
      </c>
    </row>
    <row r="30" spans="1:7" ht="18" customHeight="1">
      <c r="A30" s="149"/>
      <c r="B30" s="1161" t="s">
        <v>1594</v>
      </c>
      <c r="C30" s="547">
        <v>12.2</v>
      </c>
      <c r="D30" s="547">
        <v>16.8</v>
      </c>
      <c r="E30" s="547">
        <v>17.2</v>
      </c>
      <c r="F30" s="547">
        <v>13.2</v>
      </c>
      <c r="G30" s="547">
        <v>10.4</v>
      </c>
    </row>
    <row r="31" spans="1:7" ht="18" customHeight="1">
      <c r="A31" s="633" t="s">
        <v>1597</v>
      </c>
      <c r="B31" s="150"/>
      <c r="C31" s="1697"/>
      <c r="D31" s="1697"/>
      <c r="E31" s="1678"/>
      <c r="F31" s="1697"/>
      <c r="G31" s="110"/>
    </row>
    <row r="32" spans="1:7" ht="18" customHeight="1">
      <c r="A32" s="563" t="s">
        <v>1489</v>
      </c>
      <c r="B32" s="876" t="s">
        <v>1518</v>
      </c>
      <c r="C32" s="1697">
        <v>83097</v>
      </c>
      <c r="D32" s="1697" t="s">
        <v>1384</v>
      </c>
      <c r="E32" s="1692" t="s">
        <v>1384</v>
      </c>
      <c r="F32" s="1697" t="s">
        <v>1384</v>
      </c>
      <c r="G32" s="110" t="s">
        <v>1384</v>
      </c>
    </row>
    <row r="33" spans="1:7" ht="18" customHeight="1">
      <c r="A33" s="563" t="s">
        <v>1490</v>
      </c>
      <c r="B33" s="876" t="s">
        <v>1519</v>
      </c>
      <c r="C33" s="1697">
        <v>28314</v>
      </c>
      <c r="D33" s="1697">
        <v>26601</v>
      </c>
      <c r="E33" s="1692">
        <v>25170</v>
      </c>
      <c r="F33" s="1697">
        <v>25222</v>
      </c>
      <c r="G33" s="110">
        <v>29972</v>
      </c>
    </row>
    <row r="34" spans="1:7" ht="18" customHeight="1">
      <c r="A34" s="563" t="s">
        <v>1491</v>
      </c>
      <c r="B34" s="876" t="s">
        <v>1520</v>
      </c>
      <c r="C34" s="145" t="s">
        <v>1384</v>
      </c>
      <c r="D34" s="145" t="s">
        <v>1384</v>
      </c>
      <c r="E34" s="36" t="s">
        <v>1384</v>
      </c>
      <c r="F34" s="145" t="s">
        <v>1384</v>
      </c>
      <c r="G34" s="145" t="s">
        <v>1384</v>
      </c>
    </row>
    <row r="35" spans="1:7" ht="18" customHeight="1">
      <c r="A35" s="563" t="s">
        <v>1492</v>
      </c>
      <c r="B35" s="876" t="s">
        <v>1521</v>
      </c>
      <c r="C35" s="145" t="s">
        <v>1384</v>
      </c>
      <c r="D35" s="145" t="s">
        <v>1384</v>
      </c>
      <c r="E35" s="36" t="s">
        <v>1384</v>
      </c>
      <c r="F35" s="145" t="s">
        <v>1384</v>
      </c>
      <c r="G35" s="145" t="s">
        <v>1384</v>
      </c>
    </row>
    <row r="36" spans="1:7" ht="18" customHeight="1">
      <c r="A36" s="563" t="s">
        <v>1493</v>
      </c>
      <c r="B36" s="876" t="s">
        <v>1522</v>
      </c>
      <c r="C36" s="1697">
        <v>2029</v>
      </c>
      <c r="D36" s="1697">
        <v>2055</v>
      </c>
      <c r="E36" s="1692">
        <v>2038</v>
      </c>
      <c r="F36" s="1697">
        <v>2037</v>
      </c>
      <c r="G36" s="110">
        <v>2029</v>
      </c>
    </row>
    <row r="37" spans="1:7" ht="18" customHeight="1">
      <c r="A37" s="563" t="s">
        <v>1494</v>
      </c>
      <c r="B37" s="876" t="s">
        <v>1523</v>
      </c>
      <c r="C37" s="1697">
        <v>1558</v>
      </c>
      <c r="D37" s="1697">
        <v>1565</v>
      </c>
      <c r="E37" s="1692">
        <v>1563</v>
      </c>
      <c r="F37" s="1697">
        <v>1563</v>
      </c>
      <c r="G37" s="110">
        <v>1572</v>
      </c>
    </row>
    <row r="38" spans="1:7" ht="18" customHeight="1">
      <c r="A38" s="2134" t="s">
        <v>1524</v>
      </c>
      <c r="B38" s="2135"/>
      <c r="C38" s="195">
        <v>16394</v>
      </c>
      <c r="D38" s="195">
        <v>14579</v>
      </c>
      <c r="E38" s="196">
        <v>13273</v>
      </c>
      <c r="F38" s="195">
        <v>13225</v>
      </c>
      <c r="G38" s="195">
        <v>14440</v>
      </c>
    </row>
    <row r="39" spans="1:7" ht="12.75" customHeight="1">
      <c r="A39" s="1111" t="s">
        <v>863</v>
      </c>
      <c r="B39" s="202"/>
      <c r="D39" s="1120" t="s">
        <v>1525</v>
      </c>
      <c r="E39" s="1108" t="s">
        <v>298</v>
      </c>
      <c r="F39" s="263"/>
      <c r="G39" s="263"/>
    </row>
    <row r="40" spans="1:7">
      <c r="D40" s="1121"/>
      <c r="E40" s="1108" t="s">
        <v>1526</v>
      </c>
      <c r="F40" s="263"/>
      <c r="G40" s="263"/>
    </row>
  </sheetData>
  <mergeCells count="5">
    <mergeCell ref="A38:B38"/>
    <mergeCell ref="A1:G1"/>
    <mergeCell ref="A4:B4"/>
    <mergeCell ref="A5:B5"/>
    <mergeCell ref="A2:G2"/>
  </mergeCells>
  <phoneticPr fontId="0" type="noConversion"/>
  <printOptions horizontalCentered="1"/>
  <pageMargins left="0.1" right="0.14000000000000001" top="0.63" bottom="0.1" header="0.63" footer="0.1"/>
  <pageSetup paperSize="9" orientation="portrait" blackAndWhite="1" r:id="rId1"/>
  <headerFooter alignWithMargins="0"/>
</worksheet>
</file>

<file path=xl/worksheets/sheet46.xml><?xml version="1.0" encoding="utf-8"?>
<worksheet xmlns="http://schemas.openxmlformats.org/spreadsheetml/2006/main" xmlns:r="http://schemas.openxmlformats.org/officeDocument/2006/relationships">
  <dimension ref="B1:L29"/>
  <sheetViews>
    <sheetView workbookViewId="0">
      <selection activeCell="J14" sqref="J14"/>
    </sheetView>
  </sheetViews>
  <sheetFormatPr defaultRowHeight="12.75"/>
  <cols>
    <col min="1" max="1" width="7" customWidth="1"/>
    <col min="2" max="2" width="12.5703125" customWidth="1"/>
    <col min="3" max="3" width="8.28515625" customWidth="1"/>
    <col min="4" max="4" width="13.28515625" customWidth="1"/>
    <col min="5" max="5" width="7.85546875" customWidth="1"/>
    <col min="6" max="6" width="14" customWidth="1"/>
    <col min="7" max="7" width="9" customWidth="1"/>
    <col min="8" max="8" width="14" customWidth="1"/>
    <col min="9" max="9" width="8.7109375" customWidth="1"/>
    <col min="10" max="10" width="14" customWidth="1"/>
    <col min="11" max="11" width="9" customWidth="1"/>
    <col min="12" max="12" width="15.28515625" customWidth="1"/>
    <col min="13" max="13" width="10.140625" customWidth="1"/>
  </cols>
  <sheetData>
    <row r="1" spans="2:12" ht="15.75" customHeight="1">
      <c r="B1" s="2142" t="s">
        <v>756</v>
      </c>
      <c r="C1" s="2142"/>
      <c r="D1" s="2142"/>
      <c r="E1" s="2142"/>
      <c r="F1" s="2142"/>
      <c r="G1" s="2142"/>
      <c r="H1" s="2142"/>
      <c r="I1" s="2142"/>
      <c r="J1" s="2142"/>
      <c r="K1" s="2142"/>
      <c r="L1" s="2142"/>
    </row>
    <row r="2" spans="2:12" ht="14.25" customHeight="1">
      <c r="B2" s="1894" t="str">
        <f>CONCATENATE("Yield rates of some Selected Crops in the district of ",District!A1," and West Bengal")</f>
        <v>Yield rates of some Selected Crops in the district of Purba Medinipur and West Bengal</v>
      </c>
      <c r="C2" s="1894"/>
      <c r="D2" s="1894"/>
      <c r="E2" s="1894"/>
      <c r="F2" s="1894"/>
      <c r="G2" s="1894"/>
      <c r="H2" s="1894"/>
      <c r="I2" s="1894"/>
      <c r="J2" s="1894"/>
      <c r="K2" s="1894"/>
      <c r="L2" s="1894"/>
    </row>
    <row r="3" spans="2:12" ht="13.5" customHeight="1">
      <c r="B3" s="7"/>
      <c r="C3" s="7"/>
      <c r="D3" s="7"/>
      <c r="E3" s="7"/>
      <c r="F3" s="7"/>
      <c r="G3" s="7"/>
      <c r="H3" s="7"/>
      <c r="I3" s="7"/>
      <c r="J3" s="7"/>
      <c r="K3" s="7"/>
      <c r="L3" s="204" t="s">
        <v>1530</v>
      </c>
    </row>
    <row r="4" spans="2:12" ht="15.95" customHeight="1">
      <c r="B4" s="2143" t="s">
        <v>1497</v>
      </c>
      <c r="C4" s="2111" t="s">
        <v>1356</v>
      </c>
      <c r="D4" s="2113"/>
      <c r="E4" s="2111" t="s">
        <v>306</v>
      </c>
      <c r="F4" s="2113"/>
      <c r="G4" s="2111" t="s">
        <v>1357</v>
      </c>
      <c r="H4" s="2113"/>
      <c r="I4" s="2111" t="s">
        <v>628</v>
      </c>
      <c r="J4" s="2113"/>
      <c r="K4" s="2111" t="s">
        <v>1639</v>
      </c>
      <c r="L4" s="2113"/>
    </row>
    <row r="5" spans="2:12" ht="17.25" customHeight="1">
      <c r="B5" s="2144"/>
      <c r="C5" s="649" t="s">
        <v>1531</v>
      </c>
      <c r="D5" s="650" t="s">
        <v>1532</v>
      </c>
      <c r="E5" s="651" t="s">
        <v>1531</v>
      </c>
      <c r="F5" s="650" t="s">
        <v>1532</v>
      </c>
      <c r="G5" s="651" t="s">
        <v>1531</v>
      </c>
      <c r="H5" s="650" t="s">
        <v>1532</v>
      </c>
      <c r="I5" s="651" t="s">
        <v>1531</v>
      </c>
      <c r="J5" s="650" t="s">
        <v>1532</v>
      </c>
      <c r="K5" s="651" t="s">
        <v>1531</v>
      </c>
      <c r="L5" s="257" t="s">
        <v>1678</v>
      </c>
    </row>
    <row r="6" spans="2:12" ht="15.95" customHeight="1">
      <c r="B6" s="251" t="s">
        <v>955</v>
      </c>
      <c r="C6" s="417" t="s">
        <v>956</v>
      </c>
      <c r="D6" s="251" t="s">
        <v>957</v>
      </c>
      <c r="E6" s="437" t="s">
        <v>958</v>
      </c>
      <c r="F6" s="251" t="s">
        <v>959</v>
      </c>
      <c r="G6" s="437" t="s">
        <v>961</v>
      </c>
      <c r="H6" s="134" t="s">
        <v>962</v>
      </c>
      <c r="I6" s="191" t="s">
        <v>990</v>
      </c>
      <c r="J6" s="193" t="s">
        <v>991</v>
      </c>
      <c r="K6" s="191" t="s">
        <v>992</v>
      </c>
      <c r="L6" s="193" t="s">
        <v>993</v>
      </c>
    </row>
    <row r="7" spans="2:12" ht="21" customHeight="1">
      <c r="B7" s="285" t="s">
        <v>1498</v>
      </c>
      <c r="C7" s="1677">
        <v>2357</v>
      </c>
      <c r="D7" s="1697">
        <v>2547</v>
      </c>
      <c r="E7" s="1677">
        <v>2734</v>
      </c>
      <c r="F7" s="1697">
        <v>2708</v>
      </c>
      <c r="G7" s="1677">
        <v>2527</v>
      </c>
      <c r="H7" s="1697">
        <v>2688</v>
      </c>
      <c r="I7" s="1677">
        <v>2635</v>
      </c>
      <c r="J7" s="1697">
        <v>2745</v>
      </c>
      <c r="K7" s="117">
        <v>2254</v>
      </c>
      <c r="L7" s="1737">
        <v>2789</v>
      </c>
    </row>
    <row r="8" spans="2:12" ht="21" customHeight="1">
      <c r="B8" s="285" t="s">
        <v>1502</v>
      </c>
      <c r="C8" s="1677">
        <v>2449</v>
      </c>
      <c r="D8" s="1697">
        <v>2680</v>
      </c>
      <c r="E8" s="1677">
        <v>2570</v>
      </c>
      <c r="F8" s="1697">
        <v>2760</v>
      </c>
      <c r="G8" s="1677">
        <v>2431</v>
      </c>
      <c r="H8" s="1697">
        <v>2765</v>
      </c>
      <c r="I8" s="1677">
        <v>2564</v>
      </c>
      <c r="J8" s="1697">
        <v>2786</v>
      </c>
      <c r="K8" s="117">
        <v>2625</v>
      </c>
      <c r="L8" s="1737">
        <v>2799</v>
      </c>
    </row>
    <row r="9" spans="2:12" ht="21" customHeight="1">
      <c r="B9" s="285" t="s">
        <v>999</v>
      </c>
      <c r="C9" s="1677" t="s">
        <v>1384</v>
      </c>
      <c r="D9" s="1697">
        <v>1110</v>
      </c>
      <c r="E9" s="1677" t="s">
        <v>1384</v>
      </c>
      <c r="F9" s="1697">
        <v>1069</v>
      </c>
      <c r="G9" s="1677" t="s">
        <v>1384</v>
      </c>
      <c r="H9" s="1697">
        <v>1049</v>
      </c>
      <c r="I9" s="1677" t="s">
        <v>1384</v>
      </c>
      <c r="J9" s="1697">
        <v>1176</v>
      </c>
      <c r="K9" s="117" t="s">
        <v>1384</v>
      </c>
      <c r="L9" s="1737">
        <v>1175</v>
      </c>
    </row>
    <row r="10" spans="2:12" ht="21" customHeight="1">
      <c r="B10" s="294" t="s">
        <v>1516</v>
      </c>
      <c r="C10" s="1677">
        <v>2484</v>
      </c>
      <c r="D10" s="1697">
        <v>2573</v>
      </c>
      <c r="E10" s="1677">
        <v>3150</v>
      </c>
      <c r="F10" s="1697">
        <v>2576</v>
      </c>
      <c r="G10" s="1677">
        <v>3366</v>
      </c>
      <c r="H10" s="1697">
        <v>2572</v>
      </c>
      <c r="I10" s="1677">
        <v>2819</v>
      </c>
      <c r="J10" s="1697">
        <v>2569</v>
      </c>
      <c r="K10" s="117">
        <v>2437</v>
      </c>
      <c r="L10" s="1737">
        <v>2788</v>
      </c>
    </row>
    <row r="11" spans="2:12" ht="26.25" customHeight="1">
      <c r="B11" s="294" t="s">
        <v>1260</v>
      </c>
      <c r="C11" s="1677">
        <v>1182</v>
      </c>
      <c r="D11" s="1697">
        <v>850</v>
      </c>
      <c r="E11" s="1677">
        <v>1107</v>
      </c>
      <c r="F11" s="1697">
        <v>1021</v>
      </c>
      <c r="G11" s="1677">
        <v>729</v>
      </c>
      <c r="H11" s="1697">
        <v>908</v>
      </c>
      <c r="I11" s="1677">
        <v>1280</v>
      </c>
      <c r="J11" s="1697">
        <v>1062</v>
      </c>
      <c r="K11" s="117">
        <v>955</v>
      </c>
      <c r="L11" s="1737">
        <v>1066</v>
      </c>
    </row>
    <row r="12" spans="2:12" ht="21" customHeight="1">
      <c r="B12" s="285" t="s">
        <v>1519</v>
      </c>
      <c r="C12" s="1677">
        <v>28314</v>
      </c>
      <c r="D12" s="1697">
        <v>35768</v>
      </c>
      <c r="E12" s="1677">
        <v>26601</v>
      </c>
      <c r="F12" s="1697">
        <v>32831</v>
      </c>
      <c r="G12" s="1677">
        <v>25170</v>
      </c>
      <c r="H12" s="1697">
        <v>25641</v>
      </c>
      <c r="I12" s="1677">
        <v>25222</v>
      </c>
      <c r="J12" s="1697">
        <v>29869</v>
      </c>
      <c r="K12" s="117">
        <v>29972</v>
      </c>
      <c r="L12" s="1737">
        <v>21955</v>
      </c>
    </row>
    <row r="13" spans="2:12" ht="21" customHeight="1">
      <c r="B13" s="274" t="s">
        <v>1521</v>
      </c>
      <c r="C13" s="126" t="s">
        <v>1384</v>
      </c>
      <c r="D13" s="1735" t="s">
        <v>515</v>
      </c>
      <c r="E13" s="126" t="s">
        <v>1384</v>
      </c>
      <c r="F13" s="1735" t="s">
        <v>516</v>
      </c>
      <c r="G13" s="126" t="s">
        <v>1384</v>
      </c>
      <c r="H13" s="1735" t="s">
        <v>1690</v>
      </c>
      <c r="I13" s="126" t="s">
        <v>1384</v>
      </c>
      <c r="J13" s="1735">
        <v>2046</v>
      </c>
      <c r="K13" s="126" t="s">
        <v>1384</v>
      </c>
      <c r="L13" s="1735">
        <v>2222</v>
      </c>
    </row>
    <row r="14" spans="2:12">
      <c r="D14" s="10"/>
      <c r="I14" s="1063" t="s">
        <v>1525</v>
      </c>
      <c r="J14" s="1096" t="s">
        <v>1179</v>
      </c>
      <c r="K14" s="319"/>
      <c r="L14" s="319"/>
    </row>
    <row r="15" spans="2:12">
      <c r="D15" s="434"/>
      <c r="I15" s="1096"/>
      <c r="J15" s="1096" t="s">
        <v>1459</v>
      </c>
      <c r="K15" s="319"/>
      <c r="L15" s="319"/>
    </row>
    <row r="16" spans="2:12">
      <c r="B16" s="16"/>
      <c r="D16" s="434"/>
      <c r="I16" s="1096"/>
      <c r="J16" s="1096" t="s">
        <v>1558</v>
      </c>
      <c r="K16" s="319"/>
      <c r="L16" s="319"/>
    </row>
    <row r="17" spans="2:12" ht="16.5" customHeight="1">
      <c r="B17" s="1825" t="s">
        <v>755</v>
      </c>
      <c r="C17" s="1825"/>
      <c r="D17" s="1825"/>
      <c r="E17" s="1825"/>
      <c r="F17" s="1825"/>
      <c r="G17" s="1825"/>
      <c r="H17" s="1825"/>
      <c r="I17" s="1825"/>
      <c r="J17" s="1825"/>
      <c r="K17" s="1825"/>
      <c r="L17" s="1825"/>
    </row>
    <row r="18" spans="2:12" ht="19.5" customHeight="1">
      <c r="B18" s="1857" t="s">
        <v>1212</v>
      </c>
      <c r="C18" s="1857"/>
      <c r="D18" s="1857"/>
      <c r="E18" s="1857"/>
      <c r="F18" s="1857"/>
      <c r="G18" s="1857"/>
      <c r="H18" s="1857"/>
      <c r="I18" s="1857"/>
      <c r="J18" s="1857"/>
      <c r="K18" s="1857"/>
      <c r="L18" s="1857"/>
    </row>
    <row r="19" spans="2:12" ht="17.25" customHeight="1">
      <c r="B19" s="2154" t="s">
        <v>895</v>
      </c>
      <c r="C19" s="2154"/>
      <c r="D19" s="2154"/>
      <c r="E19" s="2154"/>
      <c r="F19" s="2154"/>
      <c r="G19" s="2154"/>
      <c r="H19" s="2154"/>
      <c r="I19" s="2154"/>
      <c r="J19" s="2154"/>
      <c r="K19" s="2154"/>
      <c r="L19" s="2154"/>
    </row>
    <row r="20" spans="2:12" ht="15" customHeight="1">
      <c r="B20" s="1866" t="s">
        <v>899</v>
      </c>
      <c r="C20" s="1906"/>
      <c r="D20" s="2152" t="s">
        <v>407</v>
      </c>
      <c r="E20" s="2152"/>
      <c r="F20" s="2153"/>
      <c r="G20" s="2152" t="s">
        <v>1560</v>
      </c>
      <c r="H20" s="2152"/>
      <c r="I20" s="2153"/>
      <c r="J20" s="2151" t="s">
        <v>897</v>
      </c>
      <c r="K20" s="2152"/>
      <c r="L20" s="2153"/>
    </row>
    <row r="21" spans="2:12" ht="15" customHeight="1">
      <c r="B21" s="1859"/>
      <c r="C21" s="2088"/>
      <c r="D21" s="164" t="s">
        <v>896</v>
      </c>
      <c r="E21" s="1829" t="s">
        <v>775</v>
      </c>
      <c r="F21" s="1828"/>
      <c r="G21" s="162" t="s">
        <v>896</v>
      </c>
      <c r="H21" s="1829" t="s">
        <v>775</v>
      </c>
      <c r="I21" s="1828"/>
      <c r="J21" s="162" t="s">
        <v>896</v>
      </c>
      <c r="K21" s="1829" t="s">
        <v>775</v>
      </c>
      <c r="L21" s="1828"/>
    </row>
    <row r="22" spans="2:12" ht="15" customHeight="1">
      <c r="B22" s="2121" t="s">
        <v>955</v>
      </c>
      <c r="C22" s="2126"/>
      <c r="D22" s="137" t="s">
        <v>956</v>
      </c>
      <c r="E22" s="2094" t="s">
        <v>957</v>
      </c>
      <c r="F22" s="2099"/>
      <c r="G22" s="135" t="s">
        <v>958</v>
      </c>
      <c r="H22" s="2094" t="s">
        <v>959</v>
      </c>
      <c r="I22" s="2099"/>
      <c r="J22" s="135" t="s">
        <v>961</v>
      </c>
      <c r="K22" s="2094" t="s">
        <v>962</v>
      </c>
      <c r="L22" s="2099"/>
    </row>
    <row r="23" spans="2:12" ht="21" customHeight="1">
      <c r="B23" s="2123" t="s">
        <v>1356</v>
      </c>
      <c r="C23" s="2124"/>
      <c r="D23" s="1571">
        <v>123.24</v>
      </c>
      <c r="E23" s="2149">
        <v>131.1</v>
      </c>
      <c r="F23" s="2150"/>
      <c r="G23" s="1572">
        <v>270.44</v>
      </c>
      <c r="H23" s="2147">
        <v>356.16</v>
      </c>
      <c r="I23" s="2148"/>
      <c r="J23" s="968">
        <v>219.44</v>
      </c>
      <c r="K23" s="2145">
        <v>271.67</v>
      </c>
      <c r="L23" s="2146"/>
    </row>
    <row r="24" spans="2:12" ht="21" customHeight="1">
      <c r="B24" s="1847" t="s">
        <v>306</v>
      </c>
      <c r="C24" s="1848"/>
      <c r="D24" s="1571">
        <v>117.72</v>
      </c>
      <c r="E24" s="2138">
        <v>125.74</v>
      </c>
      <c r="F24" s="2139"/>
      <c r="G24" s="968">
        <v>286.42</v>
      </c>
      <c r="H24" s="2138">
        <v>369.64</v>
      </c>
      <c r="I24" s="2139"/>
      <c r="J24" s="968">
        <v>243.31</v>
      </c>
      <c r="K24" s="2138">
        <v>293.97000000000003</v>
      </c>
      <c r="L24" s="2139"/>
    </row>
    <row r="25" spans="2:12" ht="21" customHeight="1">
      <c r="B25" s="1847" t="s">
        <v>1357</v>
      </c>
      <c r="C25" s="1848"/>
      <c r="D25" s="1571">
        <v>116.54</v>
      </c>
      <c r="E25" s="2138">
        <v>124.64</v>
      </c>
      <c r="F25" s="2139"/>
      <c r="G25" s="968">
        <v>268.54000000000002</v>
      </c>
      <c r="H25" s="2138">
        <v>330.74</v>
      </c>
      <c r="I25" s="2139"/>
      <c r="J25" s="968">
        <v>230.43</v>
      </c>
      <c r="K25" s="2138">
        <v>265.36</v>
      </c>
      <c r="L25" s="2139"/>
    </row>
    <row r="26" spans="2:12" ht="21" customHeight="1">
      <c r="B26" s="1847" t="s">
        <v>628</v>
      </c>
      <c r="C26" s="2137"/>
      <c r="D26" s="1571">
        <v>120.86</v>
      </c>
      <c r="E26" s="2138">
        <v>128.46</v>
      </c>
      <c r="F26" s="2139"/>
      <c r="G26" s="968">
        <v>283.57</v>
      </c>
      <c r="H26" s="2138">
        <v>353.23</v>
      </c>
      <c r="I26" s="2139"/>
      <c r="J26" s="968">
        <v>234.63</v>
      </c>
      <c r="K26" s="2138">
        <v>274.97000000000003</v>
      </c>
      <c r="L26" s="2139"/>
    </row>
    <row r="27" spans="2:12" ht="21" customHeight="1">
      <c r="B27" s="1849" t="s">
        <v>1639</v>
      </c>
      <c r="C27" s="2136"/>
      <c r="D27" s="803">
        <v>122.13</v>
      </c>
      <c r="E27" s="2140">
        <v>130.82</v>
      </c>
      <c r="F27" s="2141"/>
      <c r="G27" s="969">
        <v>254.85</v>
      </c>
      <c r="H27" s="2140">
        <v>335.46</v>
      </c>
      <c r="I27" s="2141"/>
      <c r="J27" s="969">
        <v>208.67</v>
      </c>
      <c r="K27" s="2140">
        <v>256.43</v>
      </c>
      <c r="L27" s="2141"/>
    </row>
    <row r="28" spans="2:12" ht="13.5" customHeight="1">
      <c r="L28" s="1120" t="s">
        <v>475</v>
      </c>
    </row>
    <row r="29" spans="2:12">
      <c r="F29" s="263"/>
      <c r="G29" s="263"/>
    </row>
  </sheetData>
  <mergeCells count="42">
    <mergeCell ref="H27:I27"/>
    <mergeCell ref="K27:L27"/>
    <mergeCell ref="K24:L24"/>
    <mergeCell ref="H25:I25"/>
    <mergeCell ref="K25:L25"/>
    <mergeCell ref="H26:I26"/>
    <mergeCell ref="K26:L26"/>
    <mergeCell ref="B17:L17"/>
    <mergeCell ref="J20:L20"/>
    <mergeCell ref="K21:L21"/>
    <mergeCell ref="K22:L22"/>
    <mergeCell ref="H22:I22"/>
    <mergeCell ref="E21:F21"/>
    <mergeCell ref="B19:L19"/>
    <mergeCell ref="B18:L18"/>
    <mergeCell ref="H21:I21"/>
    <mergeCell ref="G20:I20"/>
    <mergeCell ref="B20:C21"/>
    <mergeCell ref="D20:F20"/>
    <mergeCell ref="K23:L23"/>
    <mergeCell ref="E24:F24"/>
    <mergeCell ref="H24:I24"/>
    <mergeCell ref="H23:I23"/>
    <mergeCell ref="E23:F23"/>
    <mergeCell ref="I4:J4"/>
    <mergeCell ref="B1:L1"/>
    <mergeCell ref="B4:B5"/>
    <mergeCell ref="B2:L2"/>
    <mergeCell ref="K4:L4"/>
    <mergeCell ref="C4:D4"/>
    <mergeCell ref="E4:F4"/>
    <mergeCell ref="G4:H4"/>
    <mergeCell ref="B27:C27"/>
    <mergeCell ref="B26:C26"/>
    <mergeCell ref="E22:F22"/>
    <mergeCell ref="E25:F25"/>
    <mergeCell ref="E26:F26"/>
    <mergeCell ref="B23:C23"/>
    <mergeCell ref="B24:C24"/>
    <mergeCell ref="B25:C25"/>
    <mergeCell ref="B22:C22"/>
    <mergeCell ref="E27:F27"/>
  </mergeCells>
  <phoneticPr fontId="0" type="noConversion"/>
  <pageMargins left="0.1" right="0.1" top="0.59" bottom="0.1" header="0.28000000000000003" footer="0.1"/>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dimension ref="A1:P32"/>
  <sheetViews>
    <sheetView topLeftCell="A13" workbookViewId="0">
      <selection activeCell="L18" sqref="L18"/>
    </sheetView>
  </sheetViews>
  <sheetFormatPr defaultRowHeight="12.75"/>
  <cols>
    <col min="1" max="1" width="3.42578125" customWidth="1"/>
    <col min="2" max="2" width="18.28515625" customWidth="1"/>
    <col min="3" max="12" width="11.42578125" customWidth="1"/>
  </cols>
  <sheetData>
    <row r="1" spans="1:16" ht="14.25" customHeight="1">
      <c r="A1" s="1825" t="s">
        <v>754</v>
      </c>
      <c r="B1" s="1825"/>
      <c r="C1" s="1825"/>
      <c r="D1" s="1825"/>
      <c r="E1" s="1825"/>
      <c r="F1" s="1825"/>
      <c r="G1" s="1825"/>
      <c r="H1" s="1825"/>
      <c r="I1" s="1825"/>
      <c r="J1" s="1825"/>
      <c r="K1" s="1825"/>
      <c r="L1" s="1825"/>
    </row>
    <row r="2" spans="1:16" ht="18" customHeight="1">
      <c r="A2" s="1830" t="str">
        <f>CONCATENATE("Area and Production of Fruits and Vegetables in the district of ",District!A1)</f>
        <v>Area and Production of Fruits and Vegetables in the district of Purba Medinipur</v>
      </c>
      <c r="B2" s="1830"/>
      <c r="C2" s="1835"/>
      <c r="D2" s="1835"/>
      <c r="E2" s="1835"/>
      <c r="F2" s="1835"/>
      <c r="G2" s="1835"/>
      <c r="H2" s="1830"/>
      <c r="I2" s="1830"/>
      <c r="J2" s="1830"/>
      <c r="K2" s="1830"/>
      <c r="L2" s="1830"/>
    </row>
    <row r="3" spans="1:16" ht="17.25" customHeight="1">
      <c r="A3" s="1929" t="s">
        <v>1533</v>
      </c>
      <c r="B3" s="1930"/>
      <c r="C3" s="1829" t="s">
        <v>1534</v>
      </c>
      <c r="D3" s="1827"/>
      <c r="E3" s="1827"/>
      <c r="F3" s="1827"/>
      <c r="G3" s="1828"/>
      <c r="H3" s="1829" t="s">
        <v>1559</v>
      </c>
      <c r="I3" s="1827"/>
      <c r="J3" s="1827"/>
      <c r="K3" s="1827"/>
      <c r="L3" s="1828"/>
    </row>
    <row r="4" spans="1:16" ht="17.25" customHeight="1">
      <c r="A4" s="1932"/>
      <c r="B4" s="1933"/>
      <c r="C4" s="1672" t="s">
        <v>1356</v>
      </c>
      <c r="D4" s="456" t="s">
        <v>306</v>
      </c>
      <c r="E4" s="679" t="s">
        <v>1357</v>
      </c>
      <c r="F4" s="456" t="s">
        <v>628</v>
      </c>
      <c r="G4" s="234" t="s">
        <v>1639</v>
      </c>
      <c r="H4" s="1672" t="s">
        <v>1356</v>
      </c>
      <c r="I4" s="456" t="s">
        <v>306</v>
      </c>
      <c r="J4" s="679" t="s">
        <v>1357</v>
      </c>
      <c r="K4" s="456" t="s">
        <v>628</v>
      </c>
      <c r="L4" s="234" t="s">
        <v>1639</v>
      </c>
    </row>
    <row r="5" spans="1:16" ht="15" customHeight="1">
      <c r="A5" s="2094" t="s">
        <v>955</v>
      </c>
      <c r="B5" s="2156"/>
      <c r="C5" s="137" t="s">
        <v>956</v>
      </c>
      <c r="D5" s="134" t="s">
        <v>957</v>
      </c>
      <c r="E5" s="135" t="s">
        <v>958</v>
      </c>
      <c r="F5" s="134" t="s">
        <v>959</v>
      </c>
      <c r="G5" s="136" t="s">
        <v>961</v>
      </c>
      <c r="H5" s="137" t="s">
        <v>962</v>
      </c>
      <c r="I5" s="134" t="s">
        <v>990</v>
      </c>
      <c r="J5" s="135" t="s">
        <v>991</v>
      </c>
      <c r="K5" s="134" t="s">
        <v>992</v>
      </c>
      <c r="L5" s="136" t="s">
        <v>993</v>
      </c>
    </row>
    <row r="6" spans="1:16" ht="16.5" customHeight="1">
      <c r="A6" s="365" t="s">
        <v>1113</v>
      </c>
      <c r="B6" s="972" t="s">
        <v>1601</v>
      </c>
      <c r="C6" s="974"/>
      <c r="D6" s="1273"/>
      <c r="E6" s="148"/>
      <c r="F6" s="1273"/>
      <c r="G6" s="975"/>
      <c r="H6" s="148"/>
      <c r="I6" s="1273"/>
      <c r="J6" s="148"/>
      <c r="K6" s="1278"/>
      <c r="L6" s="421"/>
      <c r="O6" s="7"/>
      <c r="P6" s="7"/>
    </row>
    <row r="7" spans="1:16" ht="16.5" customHeight="1">
      <c r="A7" s="366"/>
      <c r="B7" s="876" t="s">
        <v>1535</v>
      </c>
      <c r="C7" s="1693">
        <v>2.0950000000000002</v>
      </c>
      <c r="D7" s="1675">
        <v>2.0950000000000002</v>
      </c>
      <c r="E7" s="1694">
        <v>2.1</v>
      </c>
      <c r="F7" s="1675">
        <v>2.14</v>
      </c>
      <c r="G7" s="113">
        <v>2.15</v>
      </c>
      <c r="H7" s="1695">
        <v>17.7</v>
      </c>
      <c r="I7" s="142">
        <v>17.899999999999999</v>
      </c>
      <c r="J7" s="1695">
        <v>18.510000000000002</v>
      </c>
      <c r="K7" s="142">
        <v>18.850000000000001</v>
      </c>
      <c r="L7" s="107">
        <v>6.75</v>
      </c>
      <c r="O7" s="46"/>
      <c r="P7" s="7"/>
    </row>
    <row r="8" spans="1:16" ht="16.5" customHeight="1">
      <c r="A8" s="366"/>
      <c r="B8" s="876" t="s">
        <v>1536</v>
      </c>
      <c r="C8" s="1693">
        <v>2.1320000000000001</v>
      </c>
      <c r="D8" s="1675">
        <v>2.14</v>
      </c>
      <c r="E8" s="1694">
        <v>2.17</v>
      </c>
      <c r="F8" s="1675">
        <v>2.1800000000000002</v>
      </c>
      <c r="G8" s="113">
        <v>2.1800000000000002</v>
      </c>
      <c r="H8" s="1695">
        <v>52.02</v>
      </c>
      <c r="I8" s="142">
        <v>52.52</v>
      </c>
      <c r="J8" s="1695">
        <v>52.99</v>
      </c>
      <c r="K8" s="142">
        <v>53.1</v>
      </c>
      <c r="L8" s="107">
        <v>52</v>
      </c>
      <c r="O8" s="46"/>
      <c r="P8" s="7"/>
    </row>
    <row r="9" spans="1:16" ht="16.5" customHeight="1">
      <c r="A9" s="366"/>
      <c r="B9" s="876" t="s">
        <v>1537</v>
      </c>
      <c r="C9" s="1693">
        <v>0.24099999999999999</v>
      </c>
      <c r="D9" s="1675">
        <v>0.24099999999999999</v>
      </c>
      <c r="E9" s="1694">
        <v>0.24</v>
      </c>
      <c r="F9" s="1675">
        <v>0.25</v>
      </c>
      <c r="G9" s="113">
        <v>0.24</v>
      </c>
      <c r="H9" s="1695">
        <v>4.125</v>
      </c>
      <c r="I9" s="142">
        <v>4.125</v>
      </c>
      <c r="J9" s="1695">
        <v>4.05</v>
      </c>
      <c r="K9" s="142">
        <v>3.9</v>
      </c>
      <c r="L9" s="107">
        <v>3.4</v>
      </c>
      <c r="O9" s="46"/>
      <c r="P9" s="7"/>
    </row>
    <row r="10" spans="1:16" ht="16.5" customHeight="1">
      <c r="A10" s="366"/>
      <c r="B10" s="876" t="s">
        <v>1538</v>
      </c>
      <c r="C10" s="1693">
        <v>0.8</v>
      </c>
      <c r="D10" s="1675">
        <v>0.80400000000000005</v>
      </c>
      <c r="E10" s="1694">
        <v>0.8</v>
      </c>
      <c r="F10" s="1675">
        <v>0.81</v>
      </c>
      <c r="G10" s="113">
        <v>0.8</v>
      </c>
      <c r="H10" s="1695">
        <v>16.920000000000002</v>
      </c>
      <c r="I10" s="142">
        <v>17.038</v>
      </c>
      <c r="J10" s="1695">
        <v>17.18</v>
      </c>
      <c r="K10" s="142">
        <v>17.21</v>
      </c>
      <c r="L10" s="107">
        <v>17</v>
      </c>
      <c r="O10" s="46"/>
      <c r="P10" s="7"/>
    </row>
    <row r="11" spans="1:16" ht="16.5" customHeight="1">
      <c r="A11" s="366"/>
      <c r="B11" s="876" t="s">
        <v>1539</v>
      </c>
      <c r="C11" s="1693">
        <v>0.76900000000000002</v>
      </c>
      <c r="D11" s="1675">
        <v>0.76900000000000002</v>
      </c>
      <c r="E11" s="1694">
        <v>0.77</v>
      </c>
      <c r="F11" s="1675">
        <v>0.77</v>
      </c>
      <c r="G11" s="113">
        <v>0.76</v>
      </c>
      <c r="H11" s="1695">
        <v>9.98</v>
      </c>
      <c r="I11" s="142">
        <v>9.98</v>
      </c>
      <c r="J11" s="1695">
        <v>9.98</v>
      </c>
      <c r="K11" s="142">
        <v>10.1</v>
      </c>
      <c r="L11" s="107">
        <v>9.4</v>
      </c>
      <c r="O11" s="46"/>
      <c r="P11" s="7"/>
    </row>
    <row r="12" spans="1:16" ht="16.5" customHeight="1">
      <c r="A12" s="366"/>
      <c r="B12" s="876" t="s">
        <v>1540</v>
      </c>
      <c r="C12" s="1693">
        <v>0.49199999999999999</v>
      </c>
      <c r="D12" s="1675">
        <v>0.49199999999999999</v>
      </c>
      <c r="E12" s="1694">
        <v>0.49</v>
      </c>
      <c r="F12" s="1675">
        <v>0.48</v>
      </c>
      <c r="G12" s="113">
        <v>0.48</v>
      </c>
      <c r="H12" s="1695">
        <v>5.2919999999999998</v>
      </c>
      <c r="I12" s="142">
        <v>5.2919999999999998</v>
      </c>
      <c r="J12" s="1695">
        <v>5.3</v>
      </c>
      <c r="K12" s="142">
        <v>4.9000000000000004</v>
      </c>
      <c r="L12" s="107">
        <v>5</v>
      </c>
      <c r="O12" s="46"/>
      <c r="P12" s="7"/>
    </row>
    <row r="13" spans="1:16" ht="16.5" customHeight="1">
      <c r="A13" s="366"/>
      <c r="B13" s="876" t="s">
        <v>1541</v>
      </c>
      <c r="C13" s="1693">
        <v>3.5000000000000003E-2</v>
      </c>
      <c r="D13" s="1675">
        <v>3.5000000000000003E-2</v>
      </c>
      <c r="E13" s="1694">
        <v>0.04</v>
      </c>
      <c r="F13" s="1675">
        <v>0.05</v>
      </c>
      <c r="G13" s="113">
        <v>0.05</v>
      </c>
      <c r="H13" s="1695">
        <v>0.28499999999999998</v>
      </c>
      <c r="I13" s="142">
        <v>0.28499999999999998</v>
      </c>
      <c r="J13" s="1695">
        <v>0.28999999999999998</v>
      </c>
      <c r="K13" s="142">
        <v>0.31</v>
      </c>
      <c r="L13" s="107">
        <v>0.32</v>
      </c>
      <c r="O13" s="46"/>
      <c r="P13" s="7"/>
    </row>
    <row r="14" spans="1:16" ht="16.5" customHeight="1">
      <c r="A14" s="366"/>
      <c r="B14" s="876" t="s">
        <v>1542</v>
      </c>
      <c r="C14" s="1693" t="s">
        <v>1384</v>
      </c>
      <c r="D14" s="1675" t="s">
        <v>1384</v>
      </c>
      <c r="E14" s="1694" t="s">
        <v>1384</v>
      </c>
      <c r="F14" s="1675" t="s">
        <v>1384</v>
      </c>
      <c r="G14" s="113" t="s">
        <v>1384</v>
      </c>
      <c r="H14" s="1695" t="s">
        <v>1384</v>
      </c>
      <c r="I14" s="142" t="s">
        <v>1384</v>
      </c>
      <c r="J14" s="1695" t="s">
        <v>1384</v>
      </c>
      <c r="K14" s="142" t="s">
        <v>1384</v>
      </c>
      <c r="L14" s="107" t="s">
        <v>1384</v>
      </c>
      <c r="O14" s="46"/>
      <c r="P14" s="7"/>
    </row>
    <row r="15" spans="1:16" ht="16.5" customHeight="1">
      <c r="A15" s="149"/>
      <c r="B15" s="876" t="s">
        <v>1543</v>
      </c>
      <c r="C15" s="1693">
        <v>0.8</v>
      </c>
      <c r="D15" s="1675">
        <v>0.8</v>
      </c>
      <c r="E15" s="1694">
        <v>0.81</v>
      </c>
      <c r="F15" s="1675">
        <v>0.81</v>
      </c>
      <c r="G15" s="113">
        <v>0.81</v>
      </c>
      <c r="H15" s="1695">
        <v>8.1449999999999996</v>
      </c>
      <c r="I15" s="142">
        <v>8.1449999999999996</v>
      </c>
      <c r="J15" s="1695">
        <v>8.35</v>
      </c>
      <c r="K15" s="142">
        <v>8.3800000000000008</v>
      </c>
      <c r="L15" s="107">
        <v>8.4</v>
      </c>
      <c r="O15" s="46"/>
      <c r="P15" s="7"/>
    </row>
    <row r="16" spans="1:16" ht="16.5" customHeight="1">
      <c r="A16" s="366"/>
      <c r="B16" s="876" t="s">
        <v>1544</v>
      </c>
      <c r="C16" s="1693">
        <v>0.76</v>
      </c>
      <c r="D16" s="1675">
        <v>0.76200000000000001</v>
      </c>
      <c r="E16" s="1694">
        <v>0.76</v>
      </c>
      <c r="F16" s="1675">
        <v>0.77</v>
      </c>
      <c r="G16" s="113">
        <v>0.77</v>
      </c>
      <c r="H16" s="1695">
        <v>9.4499999999999993</v>
      </c>
      <c r="I16" s="142">
        <v>9.5500000000000007</v>
      </c>
      <c r="J16" s="1695">
        <v>9.5500000000000007</v>
      </c>
      <c r="K16" s="142">
        <v>9.58</v>
      </c>
      <c r="L16" s="107">
        <v>9.59</v>
      </c>
      <c r="O16" s="46"/>
      <c r="P16" s="7"/>
    </row>
    <row r="17" spans="1:16" ht="16.5" customHeight="1">
      <c r="A17" s="366"/>
      <c r="B17" s="876" t="s">
        <v>1128</v>
      </c>
      <c r="C17" s="1693">
        <v>0.84299999999999997</v>
      </c>
      <c r="D17" s="1675">
        <v>0.84799999999999998</v>
      </c>
      <c r="E17" s="1694">
        <v>0.85</v>
      </c>
      <c r="F17" s="1675">
        <v>0.85</v>
      </c>
      <c r="G17" s="113">
        <v>0.89</v>
      </c>
      <c r="H17" s="1695">
        <v>9.1199999999999992</v>
      </c>
      <c r="I17" s="142">
        <v>9.2200000000000006</v>
      </c>
      <c r="J17" s="1695">
        <v>8.5399999999999991</v>
      </c>
      <c r="K17" s="142">
        <v>8.3000000000000007</v>
      </c>
      <c r="L17" s="107">
        <v>8.34</v>
      </c>
      <c r="O17" s="7"/>
      <c r="P17" s="7"/>
    </row>
    <row r="18" spans="1:16" ht="16.5" customHeight="1">
      <c r="A18" s="74"/>
      <c r="B18" s="973" t="s">
        <v>979</v>
      </c>
      <c r="C18" s="1702">
        <v>8.9700000000000006</v>
      </c>
      <c r="D18" s="1274">
        <v>8.99</v>
      </c>
      <c r="E18" s="469">
        <v>9.0299999999999994</v>
      </c>
      <c r="F18" s="1274">
        <f>SUM(F7:F17)</f>
        <v>9.11</v>
      </c>
      <c r="G18" s="470">
        <f>SUM(G7:G17)</f>
        <v>9.129999999999999</v>
      </c>
      <c r="H18" s="469">
        <v>133.05000000000001</v>
      </c>
      <c r="I18" s="350">
        <v>134.07</v>
      </c>
      <c r="J18" s="382">
        <v>134.74</v>
      </c>
      <c r="K18" s="350">
        <f>SUM(K7:K17)</f>
        <v>134.63</v>
      </c>
      <c r="L18" s="383">
        <f>SUM(L7:L17)</f>
        <v>120.20000000000002</v>
      </c>
      <c r="O18" s="7"/>
      <c r="P18" s="7"/>
    </row>
    <row r="19" spans="1:16" ht="16.5" customHeight="1">
      <c r="A19" s="365" t="s">
        <v>1545</v>
      </c>
      <c r="B19" s="972" t="s">
        <v>1598</v>
      </c>
      <c r="C19" s="976"/>
      <c r="D19" s="1275"/>
      <c r="E19" s="970"/>
      <c r="F19" s="1276"/>
      <c r="G19" s="76"/>
      <c r="H19" s="970"/>
      <c r="I19" s="1275"/>
      <c r="J19" s="970"/>
      <c r="K19" s="1275"/>
      <c r="L19" s="804"/>
    </row>
    <row r="20" spans="1:16" ht="16.5" customHeight="1">
      <c r="A20" s="368"/>
      <c r="B20" s="876" t="s">
        <v>1546</v>
      </c>
      <c r="C20" s="1680">
        <v>0.99</v>
      </c>
      <c r="D20" s="1277">
        <v>1.002</v>
      </c>
      <c r="E20" s="968">
        <v>1.0900000000000001</v>
      </c>
      <c r="F20" s="1277">
        <v>1.1100000000000001</v>
      </c>
      <c r="G20" s="784">
        <v>1.1299999999999999</v>
      </c>
      <c r="H20" s="707">
        <v>17.27</v>
      </c>
      <c r="I20" s="675">
        <v>17.495000000000001</v>
      </c>
      <c r="J20" s="707">
        <v>19.5</v>
      </c>
      <c r="K20" s="675">
        <v>19.61</v>
      </c>
      <c r="L20" s="705">
        <v>20.010000000000002</v>
      </c>
      <c r="M20" s="697"/>
      <c r="O20" s="968"/>
      <c r="P20" s="7"/>
    </row>
    <row r="21" spans="1:16" ht="16.5" customHeight="1">
      <c r="A21" s="368"/>
      <c r="B21" s="876" t="s">
        <v>1547</v>
      </c>
      <c r="C21" s="1680">
        <v>1.2749999999999999</v>
      </c>
      <c r="D21" s="1277">
        <v>1.292</v>
      </c>
      <c r="E21" s="968">
        <v>1.35</v>
      </c>
      <c r="F21" s="1277">
        <v>1.36</v>
      </c>
      <c r="G21" s="784">
        <v>1.37</v>
      </c>
      <c r="H21" s="707">
        <v>28.195</v>
      </c>
      <c r="I21" s="675">
        <v>28.59</v>
      </c>
      <c r="J21" s="707">
        <v>30.59</v>
      </c>
      <c r="K21" s="675">
        <v>31.89</v>
      </c>
      <c r="L21" s="705">
        <v>33</v>
      </c>
      <c r="M21" s="697"/>
      <c r="O21" s="968"/>
      <c r="P21" s="7"/>
    </row>
    <row r="22" spans="1:16" ht="16.5" customHeight="1">
      <c r="A22" s="368"/>
      <c r="B22" s="876" t="s">
        <v>1548</v>
      </c>
      <c r="C22" s="1680">
        <v>1.28</v>
      </c>
      <c r="D22" s="1277">
        <v>1.296</v>
      </c>
      <c r="E22" s="968">
        <v>1.36</v>
      </c>
      <c r="F22" s="1277">
        <v>1.48</v>
      </c>
      <c r="G22" s="784">
        <v>1.49</v>
      </c>
      <c r="H22" s="707">
        <v>27.355</v>
      </c>
      <c r="I22" s="675">
        <v>27.716000000000001</v>
      </c>
      <c r="J22" s="707">
        <v>29.36</v>
      </c>
      <c r="K22" s="675">
        <v>32.46</v>
      </c>
      <c r="L22" s="705">
        <v>32.5</v>
      </c>
      <c r="N22" s="968"/>
      <c r="O22" s="968"/>
      <c r="P22" s="7"/>
    </row>
    <row r="23" spans="1:16" ht="16.5" customHeight="1">
      <c r="A23" s="149"/>
      <c r="B23" s="876" t="s">
        <v>1549</v>
      </c>
      <c r="C23" s="1680">
        <v>0.22</v>
      </c>
      <c r="D23" s="1277">
        <v>0.224</v>
      </c>
      <c r="E23" s="968">
        <v>0.23</v>
      </c>
      <c r="F23" s="1277">
        <v>0.24</v>
      </c>
      <c r="G23" s="784">
        <v>0.24</v>
      </c>
      <c r="H23" s="707">
        <v>1.05</v>
      </c>
      <c r="I23" s="675">
        <v>1.0820000000000001</v>
      </c>
      <c r="J23" s="707">
        <v>1.08</v>
      </c>
      <c r="K23" s="675">
        <v>1.22</v>
      </c>
      <c r="L23" s="705">
        <v>1.1200000000000001</v>
      </c>
      <c r="O23" s="968"/>
      <c r="P23" s="7"/>
    </row>
    <row r="24" spans="1:16" ht="16.5" customHeight="1">
      <c r="A24" s="369"/>
      <c r="B24" s="876" t="s">
        <v>1550</v>
      </c>
      <c r="C24" s="1680">
        <v>9.3719999999999999</v>
      </c>
      <c r="D24" s="1277">
        <v>7.1630000000000003</v>
      </c>
      <c r="E24" s="968">
        <v>9.66</v>
      </c>
      <c r="F24" s="1277">
        <v>9.73</v>
      </c>
      <c r="G24" s="784">
        <v>9.51</v>
      </c>
      <c r="H24" s="707">
        <v>148.65799999999999</v>
      </c>
      <c r="I24" s="675">
        <v>117.605</v>
      </c>
      <c r="J24" s="707">
        <v>157.52000000000001</v>
      </c>
      <c r="K24" s="675">
        <v>158.6</v>
      </c>
      <c r="L24" s="705">
        <v>164.72</v>
      </c>
      <c r="O24" s="968"/>
      <c r="P24" s="7"/>
    </row>
    <row r="25" spans="1:16" ht="16.5" customHeight="1">
      <c r="A25" s="368"/>
      <c r="B25" s="876" t="s">
        <v>1551</v>
      </c>
      <c r="C25" s="1680">
        <v>0.6</v>
      </c>
      <c r="D25" s="1277">
        <v>0.60699999999999998</v>
      </c>
      <c r="E25" s="968">
        <v>0.63</v>
      </c>
      <c r="F25" s="1277">
        <v>0.64</v>
      </c>
      <c r="G25" s="784">
        <v>0.65</v>
      </c>
      <c r="H25" s="707">
        <v>7.25</v>
      </c>
      <c r="I25" s="675">
        <v>7.4489999999999998</v>
      </c>
      <c r="J25" s="707">
        <v>7.71</v>
      </c>
      <c r="K25" s="675">
        <v>7.81</v>
      </c>
      <c r="L25" s="705">
        <v>7.82</v>
      </c>
      <c r="O25" s="968"/>
      <c r="P25" s="7"/>
    </row>
    <row r="26" spans="1:16" ht="16.5" customHeight="1">
      <c r="A26" s="368"/>
      <c r="B26" s="876" t="s">
        <v>1552</v>
      </c>
      <c r="C26" s="1680">
        <v>10.53</v>
      </c>
      <c r="D26" s="1277">
        <v>10.683</v>
      </c>
      <c r="E26" s="968">
        <v>10.71</v>
      </c>
      <c r="F26" s="1277">
        <v>10.71</v>
      </c>
      <c r="G26" s="784">
        <v>10.72</v>
      </c>
      <c r="H26" s="707">
        <v>117.46</v>
      </c>
      <c r="I26" s="675">
        <v>121.717</v>
      </c>
      <c r="J26" s="707">
        <v>123.09</v>
      </c>
      <c r="K26" s="675">
        <v>122.68</v>
      </c>
      <c r="L26" s="705">
        <v>123.31</v>
      </c>
      <c r="O26" s="968"/>
      <c r="P26" s="7"/>
    </row>
    <row r="27" spans="1:16" ht="16.5" customHeight="1">
      <c r="A27" s="368"/>
      <c r="B27" s="876" t="s">
        <v>1553</v>
      </c>
      <c r="C27" s="1680">
        <v>4.5970000000000004</v>
      </c>
      <c r="D27" s="1277">
        <v>4.6509999999999998</v>
      </c>
      <c r="E27" s="968">
        <v>4.66</v>
      </c>
      <c r="F27" s="1277">
        <v>4.66</v>
      </c>
      <c r="G27" s="784">
        <v>4.71</v>
      </c>
      <c r="H27" s="707">
        <v>47.822400000000002</v>
      </c>
      <c r="I27" s="675">
        <v>49.064</v>
      </c>
      <c r="J27" s="707">
        <v>49.11</v>
      </c>
      <c r="K27" s="675">
        <v>48.24</v>
      </c>
      <c r="L27" s="705">
        <v>50.26</v>
      </c>
      <c r="N27" s="697"/>
      <c r="O27" s="968"/>
      <c r="P27" s="7"/>
    </row>
    <row r="28" spans="1:16" ht="16.5" customHeight="1">
      <c r="A28" s="149"/>
      <c r="B28" s="876" t="s">
        <v>1554</v>
      </c>
      <c r="C28" s="1680">
        <v>1.167</v>
      </c>
      <c r="D28" s="1277">
        <v>0.26</v>
      </c>
      <c r="E28" s="968">
        <v>1.18</v>
      </c>
      <c r="F28" s="1277">
        <v>1.26</v>
      </c>
      <c r="G28" s="784">
        <v>1.27</v>
      </c>
      <c r="H28" s="707">
        <v>12.629</v>
      </c>
      <c r="I28" s="675">
        <v>3.1629999999999998</v>
      </c>
      <c r="J28" s="707">
        <v>13.22</v>
      </c>
      <c r="K28" s="675">
        <v>14.41</v>
      </c>
      <c r="L28" s="705">
        <v>14.76</v>
      </c>
      <c r="N28" s="697"/>
      <c r="O28" s="968"/>
      <c r="P28" s="7"/>
    </row>
    <row r="29" spans="1:16" ht="16.5" customHeight="1">
      <c r="A29" s="369"/>
      <c r="B29" s="876" t="s">
        <v>1128</v>
      </c>
      <c r="C29" s="847">
        <v>11.318</v>
      </c>
      <c r="D29" s="937">
        <v>19.48</v>
      </c>
      <c r="E29" s="971">
        <v>11.66</v>
      </c>
      <c r="F29" s="937">
        <v>11.95</v>
      </c>
      <c r="G29" s="705">
        <v>12.07</v>
      </c>
      <c r="H29" s="1508">
        <v>70.77</v>
      </c>
      <c r="I29" s="675">
        <v>117.53</v>
      </c>
      <c r="J29" s="707">
        <v>78.709999999999994</v>
      </c>
      <c r="K29" s="675">
        <v>77.95</v>
      </c>
      <c r="L29" s="705">
        <v>77.95</v>
      </c>
      <c r="O29" s="75"/>
      <c r="P29" s="7"/>
    </row>
    <row r="30" spans="1:16" ht="15" customHeight="1">
      <c r="A30" s="370"/>
      <c r="B30" s="138" t="s">
        <v>979</v>
      </c>
      <c r="C30" s="1679">
        <v>41.35</v>
      </c>
      <c r="D30" s="350">
        <v>46.67</v>
      </c>
      <c r="E30" s="382">
        <v>42.53</v>
      </c>
      <c r="F30" s="350">
        <f>SUM(F20:F29)</f>
        <v>43.14</v>
      </c>
      <c r="G30" s="382">
        <f>SUM(G20:G29)</f>
        <v>43.16</v>
      </c>
      <c r="H30" s="1679">
        <v>478.47</v>
      </c>
      <c r="I30" s="350">
        <v>491.42</v>
      </c>
      <c r="J30" s="382">
        <v>509.89</v>
      </c>
      <c r="K30" s="350">
        <f>SUM(K20:K29)</f>
        <v>514.87</v>
      </c>
      <c r="L30" s="383">
        <f>SUM(L20:L29)</f>
        <v>525.45000000000005</v>
      </c>
      <c r="O30" s="968"/>
      <c r="P30" s="7"/>
    </row>
    <row r="31" spans="1:16">
      <c r="D31" s="10"/>
      <c r="E31" s="2155" t="s">
        <v>476</v>
      </c>
      <c r="F31" s="2155"/>
      <c r="G31" s="2155"/>
      <c r="H31" s="2155"/>
      <c r="I31" s="2155"/>
      <c r="J31" s="2155"/>
      <c r="K31" s="2155"/>
      <c r="L31" s="2155"/>
      <c r="O31" s="7"/>
      <c r="P31" s="7"/>
    </row>
    <row r="32" spans="1:16">
      <c r="O32" s="7"/>
      <c r="P32" s="7"/>
    </row>
  </sheetData>
  <mergeCells count="7">
    <mergeCell ref="A1:L1"/>
    <mergeCell ref="H3:L3"/>
    <mergeCell ref="E31:L31"/>
    <mergeCell ref="A2:L2"/>
    <mergeCell ref="A5:B5"/>
    <mergeCell ref="A3:B4"/>
    <mergeCell ref="C3:G3"/>
  </mergeCells>
  <phoneticPr fontId="0" type="noConversion"/>
  <printOptions horizontalCentered="1"/>
  <pageMargins left="0.1" right="0.1" top="0.7" bottom="0.1" header="0.5" footer="0.1"/>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dimension ref="B1:P14"/>
  <sheetViews>
    <sheetView topLeftCell="A4" workbookViewId="0">
      <selection activeCell="Q9" sqref="Q9"/>
    </sheetView>
  </sheetViews>
  <sheetFormatPr defaultRowHeight="12.75"/>
  <cols>
    <col min="1" max="1" width="5.42578125" customWidth="1"/>
    <col min="2" max="2" width="15.85546875" customWidth="1"/>
    <col min="3" max="14" width="9.85546875" customWidth="1"/>
  </cols>
  <sheetData>
    <row r="1" spans="2:16" ht="15.75" customHeight="1">
      <c r="B1" s="1893" t="s">
        <v>741</v>
      </c>
      <c r="C1" s="1893"/>
      <c r="D1" s="1893"/>
      <c r="E1" s="1893"/>
      <c r="F1" s="1893"/>
      <c r="G1" s="1893"/>
      <c r="H1" s="1893"/>
      <c r="I1" s="1893"/>
      <c r="J1" s="1893"/>
      <c r="K1" s="1893"/>
      <c r="L1" s="1893"/>
      <c r="M1" s="1893"/>
      <c r="N1" s="1893"/>
    </row>
    <row r="2" spans="2:16" ht="17.25" customHeight="1">
      <c r="B2" s="1835" t="str">
        <f>CONCATENATE("Area and Production of Flowers in the district of ",District!A1)</f>
        <v>Area and Production of Flowers in the district of Purba Medinipur</v>
      </c>
      <c r="C2" s="1835"/>
      <c r="D2" s="1835"/>
      <c r="E2" s="1835"/>
      <c r="F2" s="1835"/>
      <c r="G2" s="1835"/>
      <c r="H2" s="1835"/>
      <c r="I2" s="1835"/>
      <c r="J2" s="1835"/>
      <c r="K2" s="1835"/>
      <c r="L2" s="1835"/>
      <c r="M2" s="1835"/>
      <c r="N2" s="1835"/>
    </row>
    <row r="3" spans="2:16" ht="19.5" customHeight="1">
      <c r="B3" s="1833" t="s">
        <v>884</v>
      </c>
      <c r="C3" s="1829" t="s">
        <v>909</v>
      </c>
      <c r="D3" s="1827"/>
      <c r="E3" s="1827"/>
      <c r="F3" s="1827"/>
      <c r="G3" s="1827"/>
      <c r="H3" s="1827"/>
      <c r="I3" s="1829" t="s">
        <v>1560</v>
      </c>
      <c r="J3" s="1827"/>
      <c r="K3" s="1827"/>
      <c r="L3" s="1827"/>
      <c r="M3" s="1827"/>
      <c r="N3" s="1828"/>
    </row>
    <row r="4" spans="2:16" ht="21.95" customHeight="1">
      <c r="B4" s="1832"/>
      <c r="C4" s="133" t="s">
        <v>900</v>
      </c>
      <c r="D4" s="1672" t="s">
        <v>1356</v>
      </c>
      <c r="E4" s="456" t="s">
        <v>306</v>
      </c>
      <c r="F4" s="679" t="s">
        <v>1357</v>
      </c>
      <c r="G4" s="456" t="s">
        <v>628</v>
      </c>
      <c r="H4" s="234" t="s">
        <v>1639</v>
      </c>
      <c r="I4" s="161" t="s">
        <v>900</v>
      </c>
      <c r="J4" s="1672" t="s">
        <v>1356</v>
      </c>
      <c r="K4" s="456" t="s">
        <v>306</v>
      </c>
      <c r="L4" s="679" t="s">
        <v>1357</v>
      </c>
      <c r="M4" s="456" t="s">
        <v>628</v>
      </c>
      <c r="N4" s="234" t="s">
        <v>1639</v>
      </c>
    </row>
    <row r="5" spans="2:16" ht="19.5" customHeight="1">
      <c r="B5" s="134" t="s">
        <v>955</v>
      </c>
      <c r="C5" s="134" t="s">
        <v>956</v>
      </c>
      <c r="D5" s="137" t="s">
        <v>957</v>
      </c>
      <c r="E5" s="134" t="s">
        <v>958</v>
      </c>
      <c r="F5" s="137" t="s">
        <v>959</v>
      </c>
      <c r="G5" s="134" t="s">
        <v>961</v>
      </c>
      <c r="H5" s="136" t="s">
        <v>962</v>
      </c>
      <c r="I5" s="134" t="s">
        <v>990</v>
      </c>
      <c r="J5" s="134" t="s">
        <v>991</v>
      </c>
      <c r="K5" s="135" t="s">
        <v>992</v>
      </c>
      <c r="L5" s="134" t="s">
        <v>993</v>
      </c>
      <c r="M5" s="134" t="s">
        <v>1046</v>
      </c>
      <c r="N5" s="134" t="s">
        <v>1048</v>
      </c>
    </row>
    <row r="6" spans="2:16" ht="36" customHeight="1">
      <c r="B6" s="273" t="s">
        <v>1561</v>
      </c>
      <c r="C6" s="859" t="s">
        <v>1288</v>
      </c>
      <c r="D6" s="977">
        <v>0.58499999999999996</v>
      </c>
      <c r="E6" s="860">
        <v>0.59499999999999997</v>
      </c>
      <c r="F6" s="977">
        <v>0.59699999999999998</v>
      </c>
      <c r="G6" s="860">
        <v>0.60099999999999998</v>
      </c>
      <c r="H6" s="860">
        <v>0.60099999999999998</v>
      </c>
      <c r="I6" s="1221" t="s">
        <v>517</v>
      </c>
      <c r="J6" s="869">
        <v>33.46</v>
      </c>
      <c r="K6" s="869">
        <v>34.231999999999999</v>
      </c>
      <c r="L6" s="869">
        <v>34.531999999999996</v>
      </c>
      <c r="M6" s="869">
        <v>34.545000000000002</v>
      </c>
      <c r="N6" s="869">
        <v>34.590000000000003</v>
      </c>
    </row>
    <row r="7" spans="2:16" ht="36" customHeight="1">
      <c r="B7" s="287" t="s">
        <v>1562</v>
      </c>
      <c r="C7" s="438" t="s">
        <v>911</v>
      </c>
      <c r="D7" s="977">
        <v>0.17</v>
      </c>
      <c r="E7" s="472">
        <v>0.17</v>
      </c>
      <c r="F7" s="977">
        <v>0.187</v>
      </c>
      <c r="G7" s="472">
        <v>0.189</v>
      </c>
      <c r="H7" s="472">
        <v>0.19</v>
      </c>
      <c r="I7" s="1194" t="s">
        <v>518</v>
      </c>
      <c r="J7" s="850">
        <v>5.66</v>
      </c>
      <c r="K7" s="850">
        <v>5.72</v>
      </c>
      <c r="L7" s="850">
        <v>6.43</v>
      </c>
      <c r="M7" s="850">
        <v>6.4320000000000004</v>
      </c>
      <c r="N7" s="850">
        <v>6.4349999999999996</v>
      </c>
      <c r="P7" s="819"/>
    </row>
    <row r="8" spans="2:16" ht="36" customHeight="1">
      <c r="B8" s="285" t="s">
        <v>1563</v>
      </c>
      <c r="C8" s="438" t="s">
        <v>911</v>
      </c>
      <c r="D8" s="471">
        <v>0.32</v>
      </c>
      <c r="E8" s="472">
        <v>0.33900000000000002</v>
      </c>
      <c r="F8" s="471">
        <v>0.379</v>
      </c>
      <c r="G8" s="472">
        <v>0.38100000000000001</v>
      </c>
      <c r="H8" s="472">
        <v>0.38500000000000001</v>
      </c>
      <c r="I8" s="115" t="s">
        <v>911</v>
      </c>
      <c r="J8" s="850">
        <v>4.7</v>
      </c>
      <c r="K8" s="850">
        <v>5.28</v>
      </c>
      <c r="L8" s="850">
        <v>6</v>
      </c>
      <c r="M8" s="850">
        <v>6.08</v>
      </c>
      <c r="N8" s="850">
        <v>6.1</v>
      </c>
    </row>
    <row r="9" spans="2:16" ht="36" customHeight="1">
      <c r="B9" s="285" t="s">
        <v>1564</v>
      </c>
      <c r="C9" s="438" t="s">
        <v>911</v>
      </c>
      <c r="D9" s="471">
        <v>0.57399999999999995</v>
      </c>
      <c r="E9" s="472">
        <v>0.624</v>
      </c>
      <c r="F9" s="471">
        <v>0.625</v>
      </c>
      <c r="G9" s="472">
        <v>0.628</v>
      </c>
      <c r="H9" s="472">
        <v>0.63</v>
      </c>
      <c r="I9" s="1194" t="s">
        <v>911</v>
      </c>
      <c r="J9" s="850">
        <v>15.94</v>
      </c>
      <c r="K9" s="850">
        <v>17.43</v>
      </c>
      <c r="L9" s="850">
        <v>17.88</v>
      </c>
      <c r="M9" s="850">
        <v>16.940999999999999</v>
      </c>
      <c r="N9" s="850">
        <v>17.11</v>
      </c>
    </row>
    <row r="10" spans="2:16" ht="36" customHeight="1">
      <c r="B10" s="285" t="s">
        <v>1565</v>
      </c>
      <c r="C10" s="438" t="s">
        <v>911</v>
      </c>
      <c r="D10" s="471">
        <v>1.27</v>
      </c>
      <c r="E10" s="472">
        <v>1.29</v>
      </c>
      <c r="F10" s="471">
        <v>1.34</v>
      </c>
      <c r="G10" s="472">
        <v>1.3420000000000001</v>
      </c>
      <c r="H10" s="472">
        <v>1.345</v>
      </c>
      <c r="I10" s="978" t="s">
        <v>960</v>
      </c>
      <c r="J10" s="1448">
        <v>11.15</v>
      </c>
      <c r="K10" s="1448">
        <v>11.4</v>
      </c>
      <c r="L10" s="1448">
        <v>11.9</v>
      </c>
      <c r="M10" s="785">
        <v>11.929</v>
      </c>
      <c r="N10" s="785">
        <v>12</v>
      </c>
    </row>
    <row r="11" spans="2:16" ht="36" customHeight="1">
      <c r="B11" s="285" t="s">
        <v>1566</v>
      </c>
      <c r="C11" s="438" t="s">
        <v>911</v>
      </c>
      <c r="D11" s="471">
        <v>0.29099999999999998</v>
      </c>
      <c r="E11" s="472">
        <v>0.29099999999999998</v>
      </c>
      <c r="F11" s="471">
        <v>0.3</v>
      </c>
      <c r="G11" s="472">
        <v>0.3</v>
      </c>
      <c r="H11" s="472">
        <v>0.30099999999999999</v>
      </c>
      <c r="I11" s="979" t="s">
        <v>911</v>
      </c>
      <c r="J11" s="1448">
        <v>0.38400000000000001</v>
      </c>
      <c r="K11" s="1448">
        <v>0.38400000000000001</v>
      </c>
      <c r="L11" s="1448">
        <v>0.39400000000000002</v>
      </c>
      <c r="M11" s="785">
        <v>0.39400000000000002</v>
      </c>
      <c r="N11" s="785">
        <v>0.39600000000000002</v>
      </c>
    </row>
    <row r="12" spans="2:16" ht="36" customHeight="1">
      <c r="B12" s="285" t="s">
        <v>1567</v>
      </c>
      <c r="C12" s="438" t="s">
        <v>911</v>
      </c>
      <c r="D12" s="471">
        <v>1.34</v>
      </c>
      <c r="E12" s="472">
        <v>1.345</v>
      </c>
      <c r="F12" s="471">
        <v>1.3819999999999999</v>
      </c>
      <c r="G12" s="472">
        <v>1.393</v>
      </c>
      <c r="H12" s="472">
        <v>1.397</v>
      </c>
      <c r="I12" s="979" t="s">
        <v>911</v>
      </c>
      <c r="J12" s="1448">
        <v>1.9670000000000001</v>
      </c>
      <c r="K12" s="1448">
        <v>1.982</v>
      </c>
      <c r="L12" s="1448">
        <v>2.04</v>
      </c>
      <c r="M12" s="785">
        <v>2.0579999999999998</v>
      </c>
      <c r="N12" s="785">
        <v>2.0630000000000002</v>
      </c>
    </row>
    <row r="13" spans="2:16" ht="36" customHeight="1">
      <c r="B13" s="274" t="s">
        <v>1589</v>
      </c>
      <c r="C13" s="1465" t="s">
        <v>911</v>
      </c>
      <c r="D13" s="474">
        <v>0.49</v>
      </c>
      <c r="E13" s="473">
        <v>0.49099999999999999</v>
      </c>
      <c r="F13" s="474">
        <v>0.49099999999999999</v>
      </c>
      <c r="G13" s="473">
        <v>0.49199999999999999</v>
      </c>
      <c r="H13" s="473">
        <v>0.5</v>
      </c>
      <c r="I13" s="980" t="s">
        <v>911</v>
      </c>
      <c r="J13" s="1449">
        <v>0.54500000000000004</v>
      </c>
      <c r="K13" s="1449">
        <v>0.54900000000000004</v>
      </c>
      <c r="L13" s="1449">
        <v>0.54900000000000004</v>
      </c>
      <c r="M13" s="786">
        <v>0.55000000000000004</v>
      </c>
      <c r="N13" s="786">
        <v>0.55600000000000005</v>
      </c>
    </row>
    <row r="14" spans="2:16" ht="12" customHeight="1">
      <c r="B14" s="1210"/>
      <c r="F14" s="2157" t="s">
        <v>476</v>
      </c>
      <c r="G14" s="2158"/>
      <c r="H14" s="2158"/>
      <c r="I14" s="2157"/>
      <c r="J14" s="2157"/>
      <c r="K14" s="2157"/>
      <c r="L14" s="2157"/>
      <c r="M14" s="2158"/>
      <c r="N14" s="2157"/>
    </row>
  </sheetData>
  <mergeCells count="6">
    <mergeCell ref="B1:N1"/>
    <mergeCell ref="F14:N14"/>
    <mergeCell ref="B2:N2"/>
    <mergeCell ref="B3:B4"/>
    <mergeCell ref="C3:H3"/>
    <mergeCell ref="I3:N3"/>
  </mergeCells>
  <phoneticPr fontId="0" type="noConversion"/>
  <pageMargins left="0.14000000000000001" right="0.1" top="1.1299999999999999" bottom="0.1" header="0.54" footer="0.1"/>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dimension ref="A1:G24"/>
  <sheetViews>
    <sheetView workbookViewId="0">
      <selection activeCell="C3" sqref="C3"/>
    </sheetView>
  </sheetViews>
  <sheetFormatPr defaultRowHeight="12.75"/>
  <cols>
    <col min="1" max="1" width="31.5703125" customWidth="1"/>
    <col min="2" max="7" width="15" customWidth="1"/>
  </cols>
  <sheetData>
    <row r="1" spans="1:7" ht="17.25" customHeight="1">
      <c r="A1" s="1825" t="s">
        <v>740</v>
      </c>
      <c r="B1" s="1825"/>
      <c r="C1" s="1825"/>
      <c r="D1" s="1825"/>
      <c r="E1" s="1825"/>
      <c r="F1" s="1825"/>
      <c r="G1" s="1825"/>
    </row>
    <row r="2" spans="1:7" ht="34.5" customHeight="1">
      <c r="A2" s="1887" t="str">
        <f>CONCATENATE("Classification of Forest Area, Out-turn of Forest Produce, Revenue and Expenditure of
 Forest Department in the district of ",District!A1)</f>
        <v>Classification of Forest Area, Out-turn of Forest Produce, Revenue and Expenditure of
 Forest Department in the district of Purba Medinipur</v>
      </c>
      <c r="B2" s="1887"/>
      <c r="C2" s="1887"/>
      <c r="D2" s="1887"/>
      <c r="E2" s="1887"/>
      <c r="F2" s="1887"/>
      <c r="G2" s="1887"/>
    </row>
    <row r="3" spans="1:7" ht="20.100000000000001" customHeight="1">
      <c r="A3" s="133" t="s">
        <v>1590</v>
      </c>
      <c r="B3" s="133" t="s">
        <v>900</v>
      </c>
      <c r="C3" s="1486" t="s">
        <v>1356</v>
      </c>
      <c r="D3" s="456" t="s">
        <v>306</v>
      </c>
      <c r="E3" s="456" t="s">
        <v>1357</v>
      </c>
      <c r="F3" s="456" t="s">
        <v>628</v>
      </c>
      <c r="G3" s="456" t="s">
        <v>1639</v>
      </c>
    </row>
    <row r="4" spans="1:7" ht="20.100000000000001" customHeight="1">
      <c r="A4" s="63" t="s">
        <v>955</v>
      </c>
      <c r="B4" s="63" t="s">
        <v>956</v>
      </c>
      <c r="C4" s="49" t="s">
        <v>957</v>
      </c>
      <c r="D4" s="63" t="s">
        <v>958</v>
      </c>
      <c r="E4" s="49" t="s">
        <v>959</v>
      </c>
      <c r="F4" s="63" t="s">
        <v>961</v>
      </c>
      <c r="G4" s="475" t="s">
        <v>962</v>
      </c>
    </row>
    <row r="5" spans="1:7" ht="22.5" customHeight="1">
      <c r="A5" s="913" t="s">
        <v>776</v>
      </c>
      <c r="B5" s="535"/>
      <c r="C5" s="536"/>
      <c r="D5" s="537"/>
      <c r="E5" s="537"/>
      <c r="F5" s="92"/>
      <c r="G5" s="92"/>
    </row>
    <row r="6" spans="1:7" ht="22.5" customHeight="1">
      <c r="A6" s="285" t="s">
        <v>1591</v>
      </c>
      <c r="B6" s="571" t="s">
        <v>55</v>
      </c>
      <c r="C6" s="427" t="s">
        <v>1384</v>
      </c>
      <c r="D6" s="468" t="s">
        <v>1384</v>
      </c>
      <c r="E6" s="1483" t="s">
        <v>1384</v>
      </c>
      <c r="F6" s="1490" t="s">
        <v>1384</v>
      </c>
      <c r="G6" s="110" t="s">
        <v>1384</v>
      </c>
    </row>
    <row r="7" spans="1:7" ht="22.5" customHeight="1">
      <c r="A7" s="285" t="s">
        <v>1592</v>
      </c>
      <c r="B7" s="572" t="s">
        <v>911</v>
      </c>
      <c r="C7" s="1395" t="s">
        <v>1384</v>
      </c>
      <c r="D7" s="1488" t="s">
        <v>1384</v>
      </c>
      <c r="E7" s="1483" t="s">
        <v>1384</v>
      </c>
      <c r="F7" s="1490" t="s">
        <v>1384</v>
      </c>
      <c r="G7" s="110" t="s">
        <v>1384</v>
      </c>
    </row>
    <row r="8" spans="1:7" ht="22.5" customHeight="1">
      <c r="A8" s="285" t="s">
        <v>1593</v>
      </c>
      <c r="B8" s="572" t="s">
        <v>911</v>
      </c>
      <c r="C8" s="675" t="s">
        <v>1659</v>
      </c>
      <c r="D8" s="675" t="s">
        <v>1659</v>
      </c>
      <c r="E8" s="675" t="s">
        <v>1659</v>
      </c>
      <c r="F8" s="675" t="s">
        <v>1659</v>
      </c>
      <c r="G8" s="142">
        <v>1675.8</v>
      </c>
    </row>
    <row r="9" spans="1:7" ht="22.5" customHeight="1">
      <c r="A9" s="285" t="s">
        <v>1602</v>
      </c>
      <c r="B9" s="572" t="s">
        <v>911</v>
      </c>
      <c r="C9" s="675" t="s">
        <v>1661</v>
      </c>
      <c r="D9" s="675" t="s">
        <v>1661</v>
      </c>
      <c r="E9" s="675" t="s">
        <v>1661</v>
      </c>
      <c r="F9" s="675" t="s">
        <v>1661</v>
      </c>
      <c r="G9" s="142">
        <v>156.16999999999999</v>
      </c>
    </row>
    <row r="10" spans="1:7" ht="22.5" customHeight="1">
      <c r="A10" s="285" t="s">
        <v>777</v>
      </c>
      <c r="B10" s="572" t="s">
        <v>911</v>
      </c>
      <c r="C10" s="427" t="s">
        <v>1384</v>
      </c>
      <c r="D10" s="468" t="s">
        <v>1384</v>
      </c>
      <c r="E10" s="1483" t="s">
        <v>1384</v>
      </c>
      <c r="F10" s="1490" t="s">
        <v>1384</v>
      </c>
      <c r="G10" s="110" t="s">
        <v>1384</v>
      </c>
    </row>
    <row r="11" spans="1:7" ht="22.5" customHeight="1">
      <c r="A11" s="285" t="s">
        <v>1604</v>
      </c>
      <c r="B11" s="572" t="s">
        <v>911</v>
      </c>
      <c r="C11" s="427" t="s">
        <v>1384</v>
      </c>
      <c r="D11" s="468" t="s">
        <v>1384</v>
      </c>
      <c r="E11" s="1483" t="s">
        <v>1384</v>
      </c>
      <c r="F11" s="1490" t="s">
        <v>1384</v>
      </c>
      <c r="G11" s="110" t="s">
        <v>1384</v>
      </c>
    </row>
    <row r="12" spans="1:7" ht="22.5" customHeight="1">
      <c r="A12" s="285" t="s">
        <v>1603</v>
      </c>
      <c r="B12" s="572" t="s">
        <v>911</v>
      </c>
      <c r="C12" s="427" t="s">
        <v>1384</v>
      </c>
      <c r="D12" s="468" t="s">
        <v>1384</v>
      </c>
      <c r="E12" s="1483" t="s">
        <v>1384</v>
      </c>
      <c r="F12" s="1490" t="s">
        <v>1384</v>
      </c>
      <c r="G12" s="110" t="s">
        <v>1384</v>
      </c>
    </row>
    <row r="13" spans="1:7" ht="22.5" customHeight="1">
      <c r="A13" s="1279" t="s">
        <v>613</v>
      </c>
      <c r="B13" s="572" t="s">
        <v>911</v>
      </c>
      <c r="C13" s="427" t="s">
        <v>1384</v>
      </c>
      <c r="D13" s="468" t="s">
        <v>1384</v>
      </c>
      <c r="E13" s="1483" t="s">
        <v>1384</v>
      </c>
      <c r="F13" s="1483" t="s">
        <v>1384</v>
      </c>
      <c r="G13" s="102" t="s">
        <v>1384</v>
      </c>
    </row>
    <row r="14" spans="1:7" ht="22.5" customHeight="1">
      <c r="A14" s="275" t="s">
        <v>979</v>
      </c>
      <c r="B14" s="858" t="s">
        <v>55</v>
      </c>
      <c r="C14" s="350">
        <v>1831.97</v>
      </c>
      <c r="D14" s="350">
        <v>1831.97</v>
      </c>
      <c r="E14" s="350">
        <v>1831.97</v>
      </c>
      <c r="F14" s="350">
        <v>1831.97</v>
      </c>
      <c r="G14" s="383">
        <f>SUM(G6:G13)</f>
        <v>1831.97</v>
      </c>
    </row>
    <row r="15" spans="1:7" ht="23.25" customHeight="1">
      <c r="A15" s="914" t="s">
        <v>1605</v>
      </c>
      <c r="B15" s="538"/>
      <c r="C15" s="712"/>
      <c r="D15" s="537"/>
      <c r="E15" s="92"/>
      <c r="F15" s="1490"/>
      <c r="G15" s="110"/>
    </row>
    <row r="16" spans="1:7" ht="23.25" customHeight="1">
      <c r="A16" s="285" t="s">
        <v>1607</v>
      </c>
      <c r="B16" s="579" t="s">
        <v>885</v>
      </c>
      <c r="C16" s="472">
        <v>0.17699999999999999</v>
      </c>
      <c r="D16" s="1183" t="s">
        <v>918</v>
      </c>
      <c r="E16" s="1490">
        <v>9.0999999999999998E-2</v>
      </c>
      <c r="F16" s="1490">
        <v>2.3E-2</v>
      </c>
      <c r="G16" s="110">
        <v>0.41599999999999998</v>
      </c>
    </row>
    <row r="17" spans="1:7" ht="23.25" customHeight="1">
      <c r="A17" s="285" t="s">
        <v>1608</v>
      </c>
      <c r="B17" s="572" t="s">
        <v>911</v>
      </c>
      <c r="C17" s="472">
        <v>0.29299999999999998</v>
      </c>
      <c r="D17" s="1183" t="s">
        <v>918</v>
      </c>
      <c r="E17" s="1490">
        <v>0.30199999999999999</v>
      </c>
      <c r="F17" s="472">
        <v>0.28999999999999998</v>
      </c>
      <c r="G17" s="472">
        <v>1.466</v>
      </c>
    </row>
    <row r="18" spans="1:7" ht="23.25" customHeight="1">
      <c r="A18" s="285" t="s">
        <v>1609</v>
      </c>
      <c r="B18" s="539" t="s">
        <v>902</v>
      </c>
      <c r="C18" s="1482">
        <v>1816</v>
      </c>
      <c r="D18" s="1184" t="s">
        <v>918</v>
      </c>
      <c r="E18" s="1490">
        <v>4131</v>
      </c>
      <c r="F18" s="1490">
        <v>3819</v>
      </c>
      <c r="G18" s="110">
        <v>6221</v>
      </c>
    </row>
    <row r="19" spans="1:7" ht="23.25" customHeight="1">
      <c r="A19" s="914" t="s">
        <v>1610</v>
      </c>
      <c r="B19" s="540"/>
      <c r="C19" s="472"/>
      <c r="D19" s="472"/>
      <c r="E19" s="1490"/>
      <c r="F19" s="1490"/>
      <c r="G19" s="110"/>
    </row>
    <row r="20" spans="1:7" ht="23.25" customHeight="1">
      <c r="A20" s="285" t="s">
        <v>1611</v>
      </c>
      <c r="B20" s="580" t="s">
        <v>886</v>
      </c>
      <c r="C20" s="1482">
        <v>3419</v>
      </c>
      <c r="D20" s="1482">
        <v>1921</v>
      </c>
      <c r="E20" s="1490">
        <v>3301</v>
      </c>
      <c r="F20" s="1490">
        <v>2878</v>
      </c>
      <c r="G20" s="110">
        <v>12694</v>
      </c>
    </row>
    <row r="21" spans="1:7" ht="23.25" customHeight="1">
      <c r="A21" s="274" t="s">
        <v>1612</v>
      </c>
      <c r="B21" s="573" t="s">
        <v>911</v>
      </c>
      <c r="C21" s="516">
        <v>44948</v>
      </c>
      <c r="D21" s="516">
        <v>60026</v>
      </c>
      <c r="E21" s="1485">
        <v>49300</v>
      </c>
      <c r="F21" s="1485">
        <v>16099</v>
      </c>
      <c r="G21" s="111">
        <v>32895</v>
      </c>
    </row>
    <row r="22" spans="1:7">
      <c r="A22" s="1470"/>
      <c r="B22" s="2159" t="s">
        <v>1224</v>
      </c>
      <c r="C22" s="2159"/>
      <c r="D22" s="2159"/>
      <c r="E22" s="2159"/>
      <c r="F22" s="2159"/>
      <c r="G22" s="2159"/>
    </row>
    <row r="23" spans="1:7">
      <c r="A23" s="1471"/>
      <c r="F23" s="335"/>
    </row>
    <row r="24" spans="1:7" ht="12.75" hidden="1" customHeight="1">
      <c r="A24" s="1471"/>
    </row>
  </sheetData>
  <mergeCells count="3">
    <mergeCell ref="A2:G2"/>
    <mergeCell ref="B22:G22"/>
    <mergeCell ref="A1:G1"/>
  </mergeCells>
  <phoneticPr fontId="0" type="noConversion"/>
  <printOptions horizontalCentered="1"/>
  <pageMargins left="0.1" right="0.1" top="1.04" bottom="0.1" header="0.57999999999999996" footer="0.1"/>
  <pageSetup paperSize="9" orientation="landscape" blackAndWhite="1" r:id="rId1"/>
  <headerFooter alignWithMargins="0"/>
</worksheet>
</file>

<file path=xl/worksheets/sheet5.xml><?xml version="1.0" encoding="utf-8"?>
<worksheet xmlns="http://schemas.openxmlformats.org/spreadsheetml/2006/main" xmlns:r="http://schemas.openxmlformats.org/officeDocument/2006/relationships">
  <sheetPr codeName="Sheet2"/>
  <dimension ref="A1:D111"/>
  <sheetViews>
    <sheetView topLeftCell="A64" workbookViewId="0">
      <selection activeCell="C3" sqref="C3"/>
    </sheetView>
  </sheetViews>
  <sheetFormatPr defaultRowHeight="12.75"/>
  <cols>
    <col min="1" max="1" width="42.7109375" bestFit="1" customWidth="1"/>
    <col min="2" max="2" width="15.7109375" style="1" customWidth="1"/>
    <col min="3" max="4" width="13.7109375" style="1" customWidth="1"/>
    <col min="5" max="5" width="8.28515625" customWidth="1"/>
    <col min="8" max="8" width="10.5703125" customWidth="1"/>
  </cols>
  <sheetData>
    <row r="1" spans="1:4" ht="17.25" customHeight="1">
      <c r="A1" s="1821" t="str">
        <f>CONCATENATE(District!$A$1," at a glance")</f>
        <v>Purba Medinipur at a glance</v>
      </c>
      <c r="B1" s="1821"/>
      <c r="C1" s="1821"/>
      <c r="D1" s="1821"/>
    </row>
    <row r="2" spans="1:4">
      <c r="A2" s="249" t="s">
        <v>898</v>
      </c>
      <c r="B2" s="249" t="s">
        <v>899</v>
      </c>
      <c r="C2" s="249" t="s">
        <v>900</v>
      </c>
      <c r="D2" s="249" t="s">
        <v>901</v>
      </c>
    </row>
    <row r="3" spans="1:4" ht="12.75" customHeight="1">
      <c r="A3" s="251" t="s">
        <v>955</v>
      </c>
      <c r="B3" s="251" t="s">
        <v>956</v>
      </c>
      <c r="C3" s="251" t="s">
        <v>957</v>
      </c>
      <c r="D3" s="251" t="s">
        <v>958</v>
      </c>
    </row>
    <row r="4" spans="1:4" ht="15" customHeight="1">
      <c r="A4" s="710" t="s">
        <v>1105</v>
      </c>
      <c r="B4" s="187"/>
      <c r="C4" s="188"/>
      <c r="D4" s="110"/>
    </row>
    <row r="5" spans="1:4" ht="15" customHeight="1">
      <c r="A5" s="285" t="s">
        <v>1199</v>
      </c>
      <c r="B5" s="187"/>
      <c r="C5" s="188"/>
      <c r="D5" s="584" t="str">
        <f>'1.1,1.2'!F6</f>
        <v>Tamluk</v>
      </c>
    </row>
    <row r="6" spans="1:4" ht="15" customHeight="1">
      <c r="A6" s="165" t="s">
        <v>1200</v>
      </c>
      <c r="B6" s="187">
        <f>District!$B$5</f>
        <v>2014</v>
      </c>
      <c r="C6" s="188" t="s">
        <v>902</v>
      </c>
      <c r="D6" s="110" t="str">
        <f>RIGHT('2.1'!A44,1)</f>
        <v>4</v>
      </c>
    </row>
    <row r="7" spans="1:4" ht="15" customHeight="1">
      <c r="A7" s="165" t="s">
        <v>1480</v>
      </c>
      <c r="B7" s="187" t="s">
        <v>911</v>
      </c>
      <c r="C7" s="188" t="s">
        <v>911</v>
      </c>
      <c r="D7" s="110">
        <f>'2.1'!B44</f>
        <v>25</v>
      </c>
    </row>
    <row r="8" spans="1:4" ht="15" customHeight="1">
      <c r="A8" s="165" t="s">
        <v>903</v>
      </c>
      <c r="B8" s="187">
        <f>District!$C$4</f>
        <v>2011</v>
      </c>
      <c r="C8" s="188" t="s">
        <v>911</v>
      </c>
      <c r="D8" s="110">
        <f>'2.1'!H44</f>
        <v>2929</v>
      </c>
    </row>
    <row r="9" spans="1:4" s="7" customFormat="1" ht="15" customHeight="1">
      <c r="A9" s="165" t="s">
        <v>1143</v>
      </c>
      <c r="B9" s="187" t="str">
        <f>District!$B$4</f>
        <v>2001</v>
      </c>
      <c r="C9" s="188" t="s">
        <v>911</v>
      </c>
      <c r="D9" s="110">
        <f>'2.1'!G44</f>
        <v>3035</v>
      </c>
    </row>
    <row r="10" spans="1:4" ht="15" customHeight="1">
      <c r="A10" s="165" t="s">
        <v>1125</v>
      </c>
      <c r="B10" s="187">
        <f>District!$B$5</f>
        <v>2014</v>
      </c>
      <c r="C10" s="188" t="s">
        <v>911</v>
      </c>
      <c r="D10" s="110" t="str">
        <f>'2.1'!J44</f>
        <v>-</v>
      </c>
    </row>
    <row r="11" spans="1:4" ht="15" customHeight="1">
      <c r="A11" s="165" t="s">
        <v>1126</v>
      </c>
      <c r="B11" s="187" t="s">
        <v>911</v>
      </c>
      <c r="C11" s="188" t="s">
        <v>911</v>
      </c>
      <c r="D11" s="110">
        <f>'2.1'!L44</f>
        <v>5</v>
      </c>
    </row>
    <row r="12" spans="1:4" ht="15" customHeight="1">
      <c r="A12" s="165" t="s">
        <v>1127</v>
      </c>
      <c r="B12" s="187" t="s">
        <v>911</v>
      </c>
      <c r="C12" s="188" t="s">
        <v>911</v>
      </c>
      <c r="D12" s="110">
        <f>'16.1'!A31</f>
        <v>25</v>
      </c>
    </row>
    <row r="13" spans="1:4" ht="15" customHeight="1">
      <c r="A13" s="165" t="s">
        <v>1272</v>
      </c>
      <c r="B13" s="187" t="s">
        <v>911</v>
      </c>
      <c r="C13" s="188" t="s">
        <v>911</v>
      </c>
      <c r="D13" s="110">
        <f>'2.1'!D44</f>
        <v>25</v>
      </c>
    </row>
    <row r="14" spans="1:4" ht="15" customHeight="1">
      <c r="A14" s="165" t="s">
        <v>906</v>
      </c>
      <c r="B14" s="187" t="s">
        <v>911</v>
      </c>
      <c r="C14" s="188" t="s">
        <v>911</v>
      </c>
      <c r="D14" s="110">
        <f>'2.1'!E44</f>
        <v>223</v>
      </c>
    </row>
    <row r="15" spans="1:4" ht="15" customHeight="1">
      <c r="A15" s="165" t="s">
        <v>907</v>
      </c>
      <c r="B15" s="187" t="s">
        <v>911</v>
      </c>
      <c r="C15" s="188" t="s">
        <v>911</v>
      </c>
      <c r="D15" s="110">
        <f>'2.1'!F44</f>
        <v>3378</v>
      </c>
    </row>
    <row r="16" spans="1:4" ht="15" customHeight="1">
      <c r="A16" s="710" t="s">
        <v>908</v>
      </c>
      <c r="B16" s="187"/>
      <c r="C16" s="188"/>
      <c r="D16" s="110"/>
    </row>
    <row r="17" spans="1:4" ht="15" customHeight="1">
      <c r="A17" s="165" t="s">
        <v>909</v>
      </c>
      <c r="B17" s="187">
        <f>District!$C$4</f>
        <v>2011</v>
      </c>
      <c r="C17" s="188" t="s">
        <v>1201</v>
      </c>
      <c r="D17" s="142">
        <f>'2.2'!B39</f>
        <v>4713</v>
      </c>
    </row>
    <row r="18" spans="1:4" ht="15" customHeight="1">
      <c r="A18" s="165" t="s">
        <v>910</v>
      </c>
      <c r="B18" s="187" t="s">
        <v>911</v>
      </c>
      <c r="C18" s="188" t="s">
        <v>902</v>
      </c>
      <c r="D18" s="515">
        <f>'2.2'!C39</f>
        <v>5095875</v>
      </c>
    </row>
    <row r="19" spans="1:4" ht="15" customHeight="1">
      <c r="A19" s="165" t="s">
        <v>1336</v>
      </c>
      <c r="B19" s="187" t="s">
        <v>911</v>
      </c>
      <c r="C19" s="188" t="s">
        <v>435</v>
      </c>
      <c r="D19" s="515">
        <f>'2.2'!D39</f>
        <v>1081</v>
      </c>
    </row>
    <row r="20" spans="1:4" ht="15" customHeight="1">
      <c r="A20" s="165" t="s">
        <v>1124</v>
      </c>
      <c r="B20" s="86"/>
      <c r="C20" s="86"/>
      <c r="D20" s="86"/>
    </row>
    <row r="21" spans="1:4" ht="15" customHeight="1">
      <c r="A21" s="165" t="s">
        <v>167</v>
      </c>
      <c r="B21" s="187" t="s">
        <v>911</v>
      </c>
      <c r="C21" s="188" t="s">
        <v>365</v>
      </c>
      <c r="D21" s="142">
        <f>'2.3 '!D$17/'2.3 '!$B$17*100</f>
        <v>51.607113596781709</v>
      </c>
    </row>
    <row r="22" spans="1:4" ht="15" customHeight="1">
      <c r="A22" s="165" t="s">
        <v>912</v>
      </c>
      <c r="B22" s="187" t="s">
        <v>911</v>
      </c>
      <c r="C22" s="188" t="s">
        <v>911</v>
      </c>
      <c r="D22" s="142">
        <f>'2.3 '!E$17/'2.3 '!$B$17*100</f>
        <v>48.392886403218291</v>
      </c>
    </row>
    <row r="23" spans="1:4" ht="15" customHeight="1">
      <c r="A23" s="165" t="s">
        <v>913</v>
      </c>
      <c r="B23" s="187" t="s">
        <v>911</v>
      </c>
      <c r="C23" s="188" t="s">
        <v>911</v>
      </c>
      <c r="D23" s="142">
        <f>'2.3 '!H$17/'2.3 '!$B$17*100</f>
        <v>88.368749233448625</v>
      </c>
    </row>
    <row r="24" spans="1:4" ht="15" customHeight="1">
      <c r="A24" s="165" t="s">
        <v>914</v>
      </c>
      <c r="B24" s="187" t="s">
        <v>911</v>
      </c>
      <c r="C24" s="188" t="s">
        <v>911</v>
      </c>
      <c r="D24" s="142">
        <f>'2.3 '!G$17/'2.3 '!$B$17*100</f>
        <v>11.631250766551378</v>
      </c>
    </row>
    <row r="25" spans="1:4" ht="15" customHeight="1">
      <c r="A25" s="710" t="s">
        <v>245</v>
      </c>
      <c r="B25" s="187"/>
      <c r="C25" s="188"/>
      <c r="D25" s="110"/>
    </row>
    <row r="26" spans="1:4" ht="15" customHeight="1">
      <c r="A26" s="165" t="s">
        <v>104</v>
      </c>
      <c r="B26" s="187">
        <f>District!$B$5</f>
        <v>2014</v>
      </c>
      <c r="C26" s="188" t="s">
        <v>915</v>
      </c>
      <c r="D26" s="110">
        <f>'1.1,1.2'!H27</f>
        <v>1729</v>
      </c>
    </row>
    <row r="27" spans="1:4" ht="15" customHeight="1">
      <c r="A27" s="165" t="s">
        <v>916</v>
      </c>
      <c r="B27" s="187" t="s">
        <v>911</v>
      </c>
      <c r="C27" s="188" t="s">
        <v>917</v>
      </c>
      <c r="D27" s="110">
        <f>IF('1.3,1.4'!J19=0,"..",'1.3,1.4'!J19)</f>
        <v>39</v>
      </c>
    </row>
    <row r="28" spans="1:4" ht="15" customHeight="1">
      <c r="A28" s="165" t="s">
        <v>136</v>
      </c>
      <c r="B28" s="187" t="s">
        <v>911</v>
      </c>
      <c r="C28" s="188" t="s">
        <v>911</v>
      </c>
      <c r="D28" s="110">
        <f>IF('1.3,1.4'!K19=0,"..",'1.3,1.4'!K19)</f>
        <v>9</v>
      </c>
    </row>
    <row r="29" spans="1:4" ht="15" customHeight="1">
      <c r="A29" s="710" t="s">
        <v>919</v>
      </c>
      <c r="B29" s="187"/>
      <c r="C29" s="188"/>
      <c r="D29" s="110"/>
    </row>
    <row r="30" spans="1:4" ht="15" customHeight="1">
      <c r="A30" s="165" t="s">
        <v>920</v>
      </c>
      <c r="B30" s="187">
        <f>District!$C$4</f>
        <v>2011</v>
      </c>
      <c r="C30" s="188" t="s">
        <v>365</v>
      </c>
      <c r="D30" s="142">
        <f>'2.7'!C51</f>
        <v>37.49</v>
      </c>
    </row>
    <row r="31" spans="1:4" ht="15" customHeight="1">
      <c r="A31" s="165" t="s">
        <v>921</v>
      </c>
      <c r="B31" s="187" t="s">
        <v>911</v>
      </c>
      <c r="C31" s="188" t="s">
        <v>911</v>
      </c>
      <c r="D31" s="142">
        <f>'2.7'!Q51</f>
        <v>62.51</v>
      </c>
    </row>
    <row r="32" spans="1:4" ht="15" customHeight="1">
      <c r="A32" s="710" t="s">
        <v>922</v>
      </c>
      <c r="B32" s="187"/>
      <c r="C32" s="188"/>
      <c r="D32" s="110"/>
    </row>
    <row r="33" spans="1:4" ht="15" customHeight="1">
      <c r="A33" s="165" t="s">
        <v>923</v>
      </c>
      <c r="B33" s="187" t="str">
        <f>District!$B$3</f>
        <v>2013-14</v>
      </c>
      <c r="C33" s="254" t="s">
        <v>1404</v>
      </c>
      <c r="D33" s="142">
        <f>'5.1,5.1a'!M10</f>
        <v>289.14999999999998</v>
      </c>
    </row>
    <row r="34" spans="1:4" ht="24.75" customHeight="1">
      <c r="A34" s="255" t="s">
        <v>1153</v>
      </c>
      <c r="B34" s="187" t="s">
        <v>911</v>
      </c>
      <c r="C34" s="188" t="s">
        <v>365</v>
      </c>
      <c r="D34" s="142">
        <f>ROUND('5.5,5.5a'!L11/'5.1,5.1a'!M10*100,2)</f>
        <v>79.39</v>
      </c>
    </row>
    <row r="35" spans="1:4" ht="15" customHeight="1">
      <c r="A35" s="165" t="s">
        <v>237</v>
      </c>
      <c r="B35" s="187" t="s">
        <v>911</v>
      </c>
      <c r="C35" s="188" t="s">
        <v>114</v>
      </c>
      <c r="D35" s="110">
        <f>'5.3a'!G7</f>
        <v>2254</v>
      </c>
    </row>
    <row r="36" spans="1:4" ht="15" customHeight="1">
      <c r="A36" s="710" t="s">
        <v>1106</v>
      </c>
      <c r="B36" s="187"/>
      <c r="C36" s="188"/>
      <c r="D36" s="110"/>
    </row>
    <row r="37" spans="1:4" ht="15" customHeight="1">
      <c r="A37" s="255" t="s">
        <v>540</v>
      </c>
      <c r="B37" s="187">
        <f>District!$B$5</f>
        <v>2014</v>
      </c>
      <c r="C37" s="188" t="s">
        <v>902</v>
      </c>
      <c r="D37" s="110">
        <f>'3.1'!J12</f>
        <v>213</v>
      </c>
    </row>
    <row r="38" spans="1:4" ht="15" customHeight="1">
      <c r="A38" s="255" t="s">
        <v>105</v>
      </c>
      <c r="B38" s="187" t="str">
        <f>District!$B$3</f>
        <v>2013-14</v>
      </c>
      <c r="C38" s="188"/>
      <c r="D38" s="110">
        <f>'3.2'!B11</f>
        <v>706</v>
      </c>
    </row>
    <row r="39" spans="1:4" ht="15" customHeight="1">
      <c r="A39" s="165" t="s">
        <v>291</v>
      </c>
      <c r="B39" s="187" t="s">
        <v>911</v>
      </c>
      <c r="C39" s="188" t="s">
        <v>911</v>
      </c>
      <c r="D39" s="110">
        <f>'3.2'!E11</f>
        <v>81</v>
      </c>
    </row>
    <row r="40" spans="1:4" ht="15" customHeight="1">
      <c r="A40" s="165" t="s">
        <v>925</v>
      </c>
      <c r="B40" s="187">
        <f>District!$B$5</f>
        <v>2014</v>
      </c>
      <c r="C40" s="188" t="s">
        <v>911</v>
      </c>
      <c r="D40" s="110">
        <f>'3.1'!K12</f>
        <v>3486</v>
      </c>
    </row>
    <row r="41" spans="1:4" ht="15" customHeight="1">
      <c r="A41" s="255" t="s">
        <v>4</v>
      </c>
      <c r="B41" s="187" t="s">
        <v>911</v>
      </c>
      <c r="C41" s="188" t="s">
        <v>911</v>
      </c>
      <c r="D41" s="110">
        <f>ROUND(D40/D18*100000,0)</f>
        <v>68</v>
      </c>
    </row>
    <row r="42" spans="1:4" ht="15" customHeight="1">
      <c r="A42" s="710" t="s">
        <v>1644</v>
      </c>
      <c r="B42" s="187"/>
      <c r="C42" s="188"/>
      <c r="D42" s="110"/>
    </row>
    <row r="43" spans="1:4" ht="15" customHeight="1">
      <c r="A43" s="165" t="s">
        <v>1221</v>
      </c>
      <c r="B43" s="187" t="str">
        <f>District!$B$3</f>
        <v>2013-14</v>
      </c>
      <c r="C43" s="188" t="s">
        <v>911</v>
      </c>
      <c r="D43" s="110">
        <f>'4.1a'!I8</f>
        <v>3253</v>
      </c>
    </row>
    <row r="44" spans="1:4" ht="15" customHeight="1">
      <c r="A44" s="165" t="s">
        <v>1222</v>
      </c>
      <c r="B44" s="187" t="s">
        <v>911</v>
      </c>
      <c r="C44" s="188" t="s">
        <v>911</v>
      </c>
      <c r="D44" s="110">
        <f>'4.1a'!I13</f>
        <v>293</v>
      </c>
    </row>
    <row r="45" spans="1:4" ht="15" customHeight="1">
      <c r="A45" s="165" t="s">
        <v>1223</v>
      </c>
      <c r="B45" s="187" t="s">
        <v>911</v>
      </c>
      <c r="C45" s="188" t="s">
        <v>911</v>
      </c>
      <c r="D45" s="110">
        <f>'4.1a'!I18</f>
        <v>261</v>
      </c>
    </row>
    <row r="46" spans="1:4" ht="15" customHeight="1">
      <c r="A46" s="165" t="s">
        <v>1234</v>
      </c>
      <c r="B46" s="187" t="s">
        <v>911</v>
      </c>
      <c r="C46" s="188" t="s">
        <v>911</v>
      </c>
      <c r="D46" s="110">
        <f>'4.1a'!I23</f>
        <v>397</v>
      </c>
    </row>
    <row r="47" spans="1:4" ht="15" customHeight="1">
      <c r="A47" s="165" t="s">
        <v>926</v>
      </c>
      <c r="B47" s="187" t="s">
        <v>911</v>
      </c>
      <c r="C47" s="188" t="s">
        <v>911</v>
      </c>
      <c r="D47" s="110">
        <f>'4.1a'!I29</f>
        <v>19</v>
      </c>
    </row>
    <row r="48" spans="1:4" ht="15" customHeight="1">
      <c r="A48" s="165" t="s">
        <v>113</v>
      </c>
      <c r="B48" s="187" t="s">
        <v>911</v>
      </c>
      <c r="C48" s="188" t="s">
        <v>911</v>
      </c>
      <c r="D48" s="110" t="str">
        <f>IF(SUM('4.1a'!I30,'4.1b'!J34)=0,"-",(SUM('4.1a'!I30,'4.1b'!J34)))</f>
        <v>-</v>
      </c>
    </row>
    <row r="49" spans="1:4" ht="15" customHeight="1">
      <c r="A49" s="165" t="s">
        <v>1710</v>
      </c>
      <c r="B49" s="187">
        <f>District!$C$4</f>
        <v>2011</v>
      </c>
      <c r="C49" s="188" t="s">
        <v>365</v>
      </c>
      <c r="D49" s="142" t="str">
        <f>'4.5'!H41</f>
        <v>92.32</v>
      </c>
    </row>
    <row r="50" spans="1:4" ht="15" customHeight="1">
      <c r="A50" s="165" t="s">
        <v>1711</v>
      </c>
      <c r="B50" s="187" t="s">
        <v>911</v>
      </c>
      <c r="C50" s="188" t="s">
        <v>911</v>
      </c>
      <c r="D50" s="142" t="str">
        <f>'4.5'!I41</f>
        <v>81.37</v>
      </c>
    </row>
    <row r="51" spans="1:4" ht="15" customHeight="1">
      <c r="A51" s="256" t="s">
        <v>1712</v>
      </c>
      <c r="B51" s="257" t="s">
        <v>911</v>
      </c>
      <c r="C51" s="258" t="s">
        <v>911</v>
      </c>
      <c r="D51" s="143" t="str">
        <f>'4.5'!J41</f>
        <v>87.02</v>
      </c>
    </row>
    <row r="52" spans="1:4">
      <c r="A52" s="873"/>
      <c r="B52" s="874"/>
      <c r="C52" s="875"/>
      <c r="D52" s="1154" t="s">
        <v>444</v>
      </c>
    </row>
    <row r="53" spans="1:4">
      <c r="A53" s="1822" t="s">
        <v>1312</v>
      </c>
      <c r="B53" s="1822"/>
      <c r="C53" s="1822"/>
      <c r="D53" s="1822"/>
    </row>
    <row r="54" spans="1:4" ht="15.75">
      <c r="A54" s="1821" t="str">
        <f>CONCATENATE(District!$A$1," at a glance"," (Concld.)")</f>
        <v>Purba Medinipur at a glance (Concld.)</v>
      </c>
      <c r="B54" s="1821"/>
      <c r="C54" s="1821"/>
      <c r="D54" s="1821"/>
    </row>
    <row r="56" spans="1:4">
      <c r="A56" s="249" t="s">
        <v>898</v>
      </c>
      <c r="B56" s="249" t="s">
        <v>899</v>
      </c>
      <c r="C56" s="249" t="s">
        <v>900</v>
      </c>
      <c r="D56" s="250" t="s">
        <v>901</v>
      </c>
    </row>
    <row r="57" spans="1:4">
      <c r="A57" s="251" t="s">
        <v>955</v>
      </c>
      <c r="B57" s="251" t="s">
        <v>956</v>
      </c>
      <c r="C57" s="251" t="s">
        <v>957</v>
      </c>
      <c r="D57" s="252" t="s">
        <v>958</v>
      </c>
    </row>
    <row r="58" spans="1:4" ht="15" customHeight="1">
      <c r="A58" s="710" t="s">
        <v>927</v>
      </c>
      <c r="B58" s="187"/>
      <c r="C58" s="188"/>
      <c r="D58" s="102"/>
    </row>
    <row r="59" spans="1:4" ht="15" customHeight="1">
      <c r="A59" s="165" t="s">
        <v>1339</v>
      </c>
      <c r="B59" s="187">
        <f>District!$B$5</f>
        <v>2014</v>
      </c>
      <c r="C59" s="188" t="s">
        <v>902</v>
      </c>
      <c r="D59" s="102" t="str">
        <f>'9.1'!G9</f>
        <v>477 (P)</v>
      </c>
    </row>
    <row r="60" spans="1:4" ht="15" customHeight="1">
      <c r="A60" s="1266" t="s">
        <v>108</v>
      </c>
      <c r="B60" s="861" t="str">
        <f>District!$B$3</f>
        <v>2013-14</v>
      </c>
      <c r="C60" s="776" t="s">
        <v>911</v>
      </c>
      <c r="D60" s="56">
        <f>'8.1'!C11</f>
        <v>4258</v>
      </c>
    </row>
    <row r="61" spans="1:4" ht="15" customHeight="1">
      <c r="A61" s="710" t="s">
        <v>928</v>
      </c>
      <c r="B61" s="187"/>
      <c r="C61" s="188"/>
      <c r="D61" s="102"/>
    </row>
    <row r="62" spans="1:4" ht="15" customHeight="1">
      <c r="A62" s="165" t="s">
        <v>1337</v>
      </c>
      <c r="B62" s="187" t="str">
        <f>"As on 31.01." &amp; District!$B$5</f>
        <v>As on 31.01.2014</v>
      </c>
      <c r="C62" s="188" t="s">
        <v>911</v>
      </c>
      <c r="D62" s="102" t="str">
        <f>LEFT('9.1'!G11,5)</f>
        <v>9842</v>
      </c>
    </row>
    <row r="63" spans="1:4" ht="15" customHeight="1">
      <c r="A63" s="165" t="s">
        <v>1638</v>
      </c>
      <c r="B63" s="187">
        <f>District!$B$5</f>
        <v>2014</v>
      </c>
      <c r="C63" s="188" t="s">
        <v>911</v>
      </c>
      <c r="D63" s="102" t="str">
        <f>'9.1'!G10</f>
        <v>51388 (P)</v>
      </c>
    </row>
    <row r="64" spans="1:4" ht="15" customHeight="1">
      <c r="A64" s="1266" t="s">
        <v>108</v>
      </c>
      <c r="B64" s="861" t="str">
        <f>District!$B$3</f>
        <v>2013-14</v>
      </c>
      <c r="C64" s="776" t="s">
        <v>911</v>
      </c>
      <c r="D64" s="56">
        <f>'8.1'!E11</f>
        <v>32886</v>
      </c>
    </row>
    <row r="65" spans="1:4" ht="15" customHeight="1">
      <c r="A65" s="710" t="s">
        <v>929</v>
      </c>
      <c r="B65" s="187"/>
      <c r="C65" s="188"/>
      <c r="D65" s="102"/>
    </row>
    <row r="66" spans="1:4" ht="15" customHeight="1">
      <c r="A66" s="165" t="s">
        <v>107</v>
      </c>
      <c r="B66" s="187">
        <f>District!$B$5</f>
        <v>2014</v>
      </c>
      <c r="C66" s="188" t="s">
        <v>911</v>
      </c>
      <c r="D66" s="102">
        <f>'10.1,10.2'!F13</f>
        <v>431948</v>
      </c>
    </row>
    <row r="67" spans="1:4" ht="15" customHeight="1">
      <c r="A67" s="710" t="s">
        <v>931</v>
      </c>
      <c r="B67" s="187"/>
      <c r="C67" s="188"/>
      <c r="D67" s="102"/>
    </row>
    <row r="68" spans="1:4" ht="15" customHeight="1">
      <c r="A68" s="165" t="s">
        <v>590</v>
      </c>
      <c r="B68" s="187" t="str">
        <f>District!$B$3</f>
        <v>2013-14</v>
      </c>
      <c r="C68" s="188" t="s">
        <v>911</v>
      </c>
      <c r="D68" s="102">
        <f>'8.2'!F36</f>
        <v>2979</v>
      </c>
    </row>
    <row r="69" spans="1:4" ht="15" customHeight="1">
      <c r="A69" s="165" t="s">
        <v>1016</v>
      </c>
      <c r="B69" s="187" t="s">
        <v>911</v>
      </c>
      <c r="C69" s="254" t="s">
        <v>797</v>
      </c>
      <c r="D69" s="102">
        <f>'8.2a'!K10</f>
        <v>423839</v>
      </c>
    </row>
    <row r="70" spans="1:4" ht="15" customHeight="1">
      <c r="A70" s="710" t="s">
        <v>932</v>
      </c>
      <c r="B70" s="187"/>
      <c r="C70" s="188"/>
      <c r="D70" s="102"/>
    </row>
    <row r="71" spans="1:4" ht="15" customHeight="1">
      <c r="A71" s="165" t="s">
        <v>933</v>
      </c>
      <c r="B71" s="187" t="s">
        <v>911</v>
      </c>
      <c r="C71" s="188" t="s">
        <v>902</v>
      </c>
      <c r="D71" s="102">
        <f>'7.1'!C47</f>
        <v>1647</v>
      </c>
    </row>
    <row r="72" spans="1:4" ht="15" customHeight="1">
      <c r="A72" s="165" t="s">
        <v>934</v>
      </c>
      <c r="B72" s="187" t="s">
        <v>911</v>
      </c>
      <c r="C72" s="188" t="s">
        <v>911</v>
      </c>
      <c r="D72" s="102">
        <f>'7.1'!D47</f>
        <v>870390</v>
      </c>
    </row>
    <row r="73" spans="1:4" ht="15" customHeight="1">
      <c r="A73" s="165" t="s">
        <v>935</v>
      </c>
      <c r="B73" s="187" t="s">
        <v>911</v>
      </c>
      <c r="C73" s="254" t="s">
        <v>439</v>
      </c>
      <c r="D73" s="102">
        <f>'7.1'!E47</f>
        <v>51634092</v>
      </c>
    </row>
    <row r="74" spans="1:4" ht="15" customHeight="1">
      <c r="A74" s="710" t="s">
        <v>492</v>
      </c>
      <c r="B74" s="187"/>
      <c r="C74" s="188"/>
      <c r="D74" s="102"/>
    </row>
    <row r="75" spans="1:4" ht="15" customHeight="1">
      <c r="A75" s="165" t="s">
        <v>936</v>
      </c>
      <c r="B75" s="259" t="str">
        <f>"June, " &amp; '7.2,7.3'!A11</f>
        <v>June, 2014</v>
      </c>
      <c r="C75" s="188" t="s">
        <v>902</v>
      </c>
      <c r="D75" s="102">
        <f>'7.2,7.3'!N11</f>
        <v>278</v>
      </c>
    </row>
    <row r="76" spans="1:4" ht="15" customHeight="1">
      <c r="A76" s="710" t="s">
        <v>937</v>
      </c>
      <c r="B76" s="187"/>
      <c r="C76" s="188"/>
      <c r="D76" s="102"/>
    </row>
    <row r="77" spans="1:4" ht="15" customHeight="1">
      <c r="A77" s="165" t="s">
        <v>560</v>
      </c>
      <c r="B77" s="187" t="str">
        <f>District!$B$3</f>
        <v>2013-14</v>
      </c>
      <c r="C77" s="188" t="s">
        <v>902</v>
      </c>
      <c r="D77" s="102" t="str">
        <f>'12.5,12.6,12.7'!C24</f>
        <v>1422 (C)</v>
      </c>
    </row>
    <row r="78" spans="1:4" ht="15" customHeight="1">
      <c r="A78" s="165" t="s">
        <v>1202</v>
      </c>
      <c r="B78" s="187" t="s">
        <v>911</v>
      </c>
      <c r="C78" s="188" t="s">
        <v>911</v>
      </c>
      <c r="D78" s="102" t="str">
        <f>LEFT('12.5,12.6,12.7'!G24,2)</f>
        <v>-</v>
      </c>
    </row>
    <row r="79" spans="1:4" ht="15" customHeight="1">
      <c r="A79" s="165" t="s">
        <v>1714</v>
      </c>
      <c r="B79" s="187" t="s">
        <v>911</v>
      </c>
      <c r="C79" s="188" t="s">
        <v>796</v>
      </c>
      <c r="D79" s="107">
        <f>SUM('12.1,12.2'!D11,'12.1,12.2'!G11,'12.1,12.2'!J11,'12.1,12.2'!M11,'12.3,12.4'!D10)</f>
        <v>15932.19</v>
      </c>
    </row>
    <row r="80" spans="1:4" ht="15" customHeight="1">
      <c r="A80" s="165" t="s">
        <v>1715</v>
      </c>
      <c r="B80" s="187" t="s">
        <v>911</v>
      </c>
      <c r="C80" s="188" t="s">
        <v>911</v>
      </c>
      <c r="D80" s="107">
        <f>SUM('12.1,12.2'!E11,'12.1,12.2'!H11,'12.1,12.2'!K11,'12.3,12.4'!G10)</f>
        <v>2627.96</v>
      </c>
    </row>
    <row r="81" spans="1:4" ht="15" customHeight="1">
      <c r="A81" s="165" t="s">
        <v>693</v>
      </c>
      <c r="B81" s="187" t="s">
        <v>911</v>
      </c>
      <c r="C81" s="188" t="s">
        <v>902</v>
      </c>
      <c r="D81" s="102">
        <f>'12.3,12.4'!L29</f>
        <v>187633</v>
      </c>
    </row>
    <row r="82" spans="1:4" ht="15" customHeight="1">
      <c r="A82" s="710" t="s">
        <v>939</v>
      </c>
      <c r="B82" s="187"/>
      <c r="C82" s="188"/>
      <c r="D82" s="102"/>
    </row>
    <row r="83" spans="1:4" ht="15" customHeight="1">
      <c r="A83" s="165" t="s">
        <v>106</v>
      </c>
      <c r="B83" s="187" t="s">
        <v>911</v>
      </c>
      <c r="C83" s="254" t="s">
        <v>439</v>
      </c>
      <c r="D83" s="102">
        <f>'15.2'!B10</f>
        <v>4492480</v>
      </c>
    </row>
    <row r="84" spans="1:4" ht="15" customHeight="1">
      <c r="A84" s="256" t="s">
        <v>1713</v>
      </c>
      <c r="B84" s="257" t="s">
        <v>911</v>
      </c>
      <c r="C84" s="258" t="s">
        <v>911</v>
      </c>
      <c r="D84" s="116">
        <f>'15.1'!L10</f>
        <v>4422300</v>
      </c>
    </row>
    <row r="85" spans="1:4">
      <c r="A85" s="1226"/>
      <c r="B85"/>
      <c r="C85"/>
      <c r="D85"/>
    </row>
    <row r="86" spans="1:4">
      <c r="B86"/>
      <c r="C86"/>
      <c r="D86"/>
    </row>
    <row r="87" spans="1:4">
      <c r="A87" s="342"/>
      <c r="B87" s="343"/>
      <c r="C87" s="260"/>
      <c r="D87" s="7"/>
    </row>
    <row r="88" spans="1:4">
      <c r="A88" s="342"/>
      <c r="B88" s="343"/>
      <c r="C88" s="260"/>
      <c r="D88" s="7"/>
    </row>
    <row r="89" spans="1:4">
      <c r="A89" s="344"/>
      <c r="B89" s="343"/>
      <c r="C89" s="260"/>
      <c r="D89" s="7"/>
    </row>
    <row r="90" spans="1:4">
      <c r="A90" s="344"/>
      <c r="B90" s="343"/>
      <c r="C90" s="260"/>
      <c r="D90" s="46"/>
    </row>
    <row r="91" spans="1:4">
      <c r="A91" s="344"/>
      <c r="B91" s="343"/>
      <c r="C91" s="260"/>
      <c r="D91" s="7"/>
    </row>
    <row r="92" spans="1:4">
      <c r="A92" s="344"/>
      <c r="B92" s="343"/>
      <c r="C92" s="260"/>
      <c r="D92" s="7"/>
    </row>
    <row r="93" spans="1:4">
      <c r="A93" s="344"/>
      <c r="B93" s="343"/>
      <c r="C93" s="260"/>
      <c r="D93" s="7"/>
    </row>
    <row r="94" spans="1:4">
      <c r="A94" s="344"/>
      <c r="B94" s="343"/>
      <c r="C94" s="260"/>
      <c r="D94" s="8"/>
    </row>
    <row r="95" spans="1:4">
      <c r="A95" s="344"/>
      <c r="B95" s="343"/>
      <c r="C95" s="260"/>
      <c r="D95" s="8"/>
    </row>
    <row r="96" spans="1:4">
      <c r="A96" s="344"/>
      <c r="B96" s="343"/>
      <c r="C96" s="260"/>
      <c r="D96" s="8"/>
    </row>
    <row r="97" spans="1:4">
      <c r="A97" s="344"/>
      <c r="B97" s="343"/>
      <c r="C97" s="260"/>
      <c r="D97" s="8"/>
    </row>
    <row r="98" spans="1:4">
      <c r="A98" s="344"/>
      <c r="B98" s="343"/>
      <c r="C98" s="260"/>
      <c r="D98" s="8"/>
    </row>
    <row r="99" spans="1:4">
      <c r="A99" s="344"/>
      <c r="B99" s="343"/>
      <c r="C99" s="260"/>
      <c r="D99" s="8"/>
    </row>
    <row r="111" spans="1:4">
      <c r="A111" s="1819" t="s">
        <v>1314</v>
      </c>
      <c r="B111" s="1819"/>
      <c r="C111" s="1819"/>
      <c r="D111" s="1819"/>
    </row>
  </sheetData>
  <mergeCells count="4">
    <mergeCell ref="A1:D1"/>
    <mergeCell ref="A54:D54"/>
    <mergeCell ref="A53:D53"/>
    <mergeCell ref="A111:D111"/>
  </mergeCells>
  <phoneticPr fontId="0" type="noConversion"/>
  <printOptions horizontalCentered="1"/>
  <pageMargins left="0" right="0" top="0.68" bottom="0" header="0.47" footer="0.5"/>
  <pageSetup paperSize="9" orientation="portrait" blackAndWhite="1" r:id="rId1"/>
  <headerFooter alignWithMargins="0"/>
  <legacyDrawing r:id="rId2"/>
  <oleObjects>
    <oleObject progId="Word.Document.8" shapeId="16389" r:id="rId3"/>
  </oleObjects>
</worksheet>
</file>

<file path=xl/worksheets/sheet50.xml><?xml version="1.0" encoding="utf-8"?>
<worksheet xmlns="http://schemas.openxmlformats.org/spreadsheetml/2006/main" xmlns:r="http://schemas.openxmlformats.org/officeDocument/2006/relationships">
  <dimension ref="B1:M30"/>
  <sheetViews>
    <sheetView topLeftCell="A13" workbookViewId="0">
      <selection activeCell="D27" sqref="D27:J27"/>
    </sheetView>
  </sheetViews>
  <sheetFormatPr defaultRowHeight="12.75"/>
  <cols>
    <col min="1" max="1" width="12.42578125" customWidth="1"/>
    <col min="2" max="2" width="11.85546875" customWidth="1"/>
    <col min="3" max="3" width="12" customWidth="1"/>
    <col min="4" max="4" width="13.140625" customWidth="1"/>
    <col min="5" max="5" width="11.140625" customWidth="1"/>
    <col min="6" max="6" width="11.5703125" customWidth="1"/>
    <col min="7" max="7" width="8.140625" customWidth="1"/>
    <col min="8" max="8" width="12" customWidth="1"/>
    <col min="9" max="9" width="11.140625" customWidth="1"/>
    <col min="10" max="10" width="10.28515625" customWidth="1"/>
    <col min="11" max="11" width="10" customWidth="1"/>
    <col min="12" max="12" width="12" customWidth="1"/>
  </cols>
  <sheetData>
    <row r="1" spans="2:13" ht="15" customHeight="1">
      <c r="B1" s="1825" t="s">
        <v>739</v>
      </c>
      <c r="C1" s="1825"/>
      <c r="D1" s="1825"/>
      <c r="E1" s="1825"/>
      <c r="F1" s="1825"/>
      <c r="G1" s="1825"/>
      <c r="H1" s="1825"/>
      <c r="I1" s="1825"/>
      <c r="J1" s="1825"/>
      <c r="K1" s="1825"/>
      <c r="L1" s="1825"/>
    </row>
    <row r="2" spans="2:13" ht="15.75" customHeight="1">
      <c r="B2" s="1894" t="str">
        <f>CONCATENATE("Area Irrigated by different sources in the district of ",District!A1)</f>
        <v>Area Irrigated by different sources in the district of Purba Medinipur</v>
      </c>
      <c r="C2" s="1894"/>
      <c r="D2" s="1894"/>
      <c r="E2" s="1894"/>
      <c r="F2" s="1894"/>
      <c r="G2" s="1894"/>
      <c r="H2" s="1894"/>
      <c r="I2" s="1894"/>
      <c r="J2" s="1894"/>
      <c r="K2" s="1894"/>
      <c r="L2" s="1894"/>
    </row>
    <row r="3" spans="2:13" ht="12" customHeight="1">
      <c r="B3" s="7"/>
      <c r="C3" s="7"/>
      <c r="D3" s="7"/>
      <c r="E3" s="7"/>
      <c r="F3" s="7"/>
      <c r="G3" s="7"/>
      <c r="H3" s="7"/>
      <c r="I3" s="7"/>
      <c r="J3" s="7"/>
      <c r="K3" s="499"/>
      <c r="L3" s="485" t="s">
        <v>1242</v>
      </c>
    </row>
    <row r="4" spans="2:13" ht="17.25" customHeight="1">
      <c r="B4" s="1831" t="s">
        <v>899</v>
      </c>
      <c r="C4" s="1827" t="s">
        <v>1621</v>
      </c>
      <c r="D4" s="1827"/>
      <c r="E4" s="1827"/>
      <c r="F4" s="1827"/>
      <c r="G4" s="1827"/>
      <c r="H4" s="1827"/>
      <c r="I4" s="1827"/>
      <c r="J4" s="1827"/>
      <c r="K4" s="1827"/>
      <c r="L4" s="1828"/>
    </row>
    <row r="5" spans="2:13" ht="17.25" customHeight="1">
      <c r="B5" s="1858"/>
      <c r="C5" s="160" t="s">
        <v>1622</v>
      </c>
      <c r="D5" s="160" t="s">
        <v>1613</v>
      </c>
      <c r="E5" s="160" t="s">
        <v>1614</v>
      </c>
      <c r="F5" s="160" t="s">
        <v>1615</v>
      </c>
      <c r="G5" s="160" t="s">
        <v>1616</v>
      </c>
      <c r="H5" s="160" t="s">
        <v>1617</v>
      </c>
      <c r="I5" s="160" t="s">
        <v>1618</v>
      </c>
      <c r="J5" s="160" t="s">
        <v>1619</v>
      </c>
      <c r="K5" s="160" t="s">
        <v>1128</v>
      </c>
      <c r="L5" s="836" t="s">
        <v>979</v>
      </c>
    </row>
    <row r="6" spans="2:13" ht="16.5" customHeight="1">
      <c r="B6" s="134" t="s">
        <v>955</v>
      </c>
      <c r="C6" s="134" t="s">
        <v>956</v>
      </c>
      <c r="D6" s="134" t="s">
        <v>957</v>
      </c>
      <c r="E6" s="134" t="s">
        <v>958</v>
      </c>
      <c r="F6" s="134" t="s">
        <v>959</v>
      </c>
      <c r="G6" s="134" t="s">
        <v>961</v>
      </c>
      <c r="H6" s="134" t="s">
        <v>962</v>
      </c>
      <c r="I6" s="134" t="s">
        <v>990</v>
      </c>
      <c r="J6" s="134" t="s">
        <v>991</v>
      </c>
      <c r="K6" s="193" t="s">
        <v>992</v>
      </c>
      <c r="L6" s="193" t="s">
        <v>993</v>
      </c>
    </row>
    <row r="7" spans="2:13" ht="21" customHeight="1">
      <c r="B7" s="284" t="s">
        <v>1356</v>
      </c>
      <c r="C7" s="1000">
        <v>62.78</v>
      </c>
      <c r="D7" s="1000">
        <v>22.382000000000001</v>
      </c>
      <c r="E7" s="1000">
        <v>4.774</v>
      </c>
      <c r="F7" s="1000">
        <v>36.695999999999998</v>
      </c>
      <c r="G7" s="381" t="s">
        <v>1384</v>
      </c>
      <c r="H7" s="734">
        <v>36.595999999999997</v>
      </c>
      <c r="I7" s="734">
        <v>2.77</v>
      </c>
      <c r="J7" s="1000" t="s">
        <v>1384</v>
      </c>
      <c r="K7" s="1181">
        <v>26.719000000000001</v>
      </c>
      <c r="L7" s="734">
        <f t="shared" ref="L7:L11" si="0">SUM(C7:K7)</f>
        <v>192.71700000000001</v>
      </c>
    </row>
    <row r="8" spans="2:13" ht="21" customHeight="1">
      <c r="B8" s="284" t="s">
        <v>306</v>
      </c>
      <c r="C8" s="1000">
        <v>62.78</v>
      </c>
      <c r="D8" s="1000">
        <v>22.382000000000001</v>
      </c>
      <c r="E8" s="1000">
        <v>4.774</v>
      </c>
      <c r="F8" s="1000">
        <v>36.695999999999998</v>
      </c>
      <c r="G8" s="381" t="s">
        <v>1384</v>
      </c>
      <c r="H8" s="734">
        <v>36.595999999999997</v>
      </c>
      <c r="I8" s="734">
        <v>2.77</v>
      </c>
      <c r="J8" s="1000" t="s">
        <v>1384</v>
      </c>
      <c r="K8" s="1181">
        <v>26.719000000000001</v>
      </c>
      <c r="L8" s="734">
        <f t="shared" si="0"/>
        <v>192.71700000000001</v>
      </c>
    </row>
    <row r="9" spans="2:13" ht="21" customHeight="1">
      <c r="B9" s="284" t="s">
        <v>1357</v>
      </c>
      <c r="C9" s="1000">
        <v>62.78</v>
      </c>
      <c r="D9" s="1000">
        <v>26.07</v>
      </c>
      <c r="E9" s="1000">
        <v>4.7699999999999996</v>
      </c>
      <c r="F9" s="1000">
        <v>36.700000000000003</v>
      </c>
      <c r="G9" s="381" t="s">
        <v>1384</v>
      </c>
      <c r="H9" s="734">
        <v>36.61</v>
      </c>
      <c r="I9" s="734">
        <v>2.77</v>
      </c>
      <c r="J9" s="1000" t="s">
        <v>1384</v>
      </c>
      <c r="K9" s="1181">
        <v>43.07</v>
      </c>
      <c r="L9" s="734">
        <f t="shared" si="0"/>
        <v>212.77</v>
      </c>
    </row>
    <row r="10" spans="2:13" ht="21" customHeight="1">
      <c r="B10" s="284" t="s">
        <v>1673</v>
      </c>
      <c r="C10" s="1000">
        <v>62.78</v>
      </c>
      <c r="D10" s="1000">
        <v>31.39</v>
      </c>
      <c r="E10" s="1000">
        <v>5.0199999999999996</v>
      </c>
      <c r="F10" s="1000">
        <v>33.130000000000003</v>
      </c>
      <c r="G10" s="1000">
        <v>13.24</v>
      </c>
      <c r="H10" s="734">
        <v>37.07</v>
      </c>
      <c r="I10" s="734">
        <v>3.38</v>
      </c>
      <c r="J10" s="1000" t="s">
        <v>918</v>
      </c>
      <c r="K10" s="1181">
        <v>35.979999999999997</v>
      </c>
      <c r="L10" s="734">
        <f t="shared" si="0"/>
        <v>221.98999999999998</v>
      </c>
    </row>
    <row r="11" spans="2:13" ht="21" customHeight="1">
      <c r="B11" s="732" t="s">
        <v>1639</v>
      </c>
      <c r="C11" s="841">
        <v>62.78</v>
      </c>
      <c r="D11" s="841">
        <v>33.314999999999998</v>
      </c>
      <c r="E11" s="841">
        <v>4.8499999999999996</v>
      </c>
      <c r="F11" s="841">
        <v>43.03</v>
      </c>
      <c r="G11" s="841">
        <v>14.42</v>
      </c>
      <c r="H11" s="733">
        <v>30.49</v>
      </c>
      <c r="I11" s="733">
        <v>3.23</v>
      </c>
      <c r="J11" s="841" t="s">
        <v>918</v>
      </c>
      <c r="K11" s="1182">
        <v>37.450000000000003</v>
      </c>
      <c r="L11" s="733">
        <f t="shared" si="0"/>
        <v>229.565</v>
      </c>
    </row>
    <row r="12" spans="2:13" ht="12.75" customHeight="1">
      <c r="B12" s="1409" t="s">
        <v>56</v>
      </c>
      <c r="C12" s="1242" t="s">
        <v>49</v>
      </c>
      <c r="D12" s="1410"/>
      <c r="E12" s="1409" t="s">
        <v>1625</v>
      </c>
      <c r="F12" s="1242" t="s">
        <v>52</v>
      </c>
      <c r="G12" s="1410"/>
      <c r="H12" s="1059" t="s">
        <v>1525</v>
      </c>
      <c r="I12" s="1060" t="s">
        <v>482</v>
      </c>
      <c r="J12" s="8"/>
      <c r="K12" s="67"/>
      <c r="L12" s="8"/>
    </row>
    <row r="13" spans="2:13" ht="12.75" customHeight="1">
      <c r="B13" s="1409" t="s">
        <v>1623</v>
      </c>
      <c r="C13" s="1242" t="s">
        <v>50</v>
      </c>
      <c r="D13" s="1410"/>
      <c r="E13" s="1409" t="s">
        <v>1626</v>
      </c>
      <c r="F13" s="1242" t="s">
        <v>53</v>
      </c>
      <c r="G13" s="1410"/>
      <c r="H13" s="1041"/>
      <c r="I13" s="1060" t="s">
        <v>1460</v>
      </c>
      <c r="J13" s="8"/>
      <c r="K13" s="67"/>
      <c r="L13" s="8"/>
    </row>
    <row r="14" spans="2:13">
      <c r="B14" s="1409" t="s">
        <v>1624</v>
      </c>
      <c r="C14" s="1242" t="s">
        <v>51</v>
      </c>
      <c r="D14" s="1410"/>
      <c r="E14" s="1409" t="s">
        <v>1627</v>
      </c>
      <c r="F14" s="1242" t="s">
        <v>54</v>
      </c>
      <c r="G14" s="1410"/>
      <c r="J14" s="320"/>
      <c r="K14" s="320"/>
      <c r="L14" s="320"/>
      <c r="M14" s="319"/>
    </row>
    <row r="15" spans="2:13">
      <c r="H15" s="320"/>
      <c r="J15" s="320"/>
      <c r="K15" s="320"/>
      <c r="L15" s="320"/>
      <c r="M15" s="319"/>
    </row>
    <row r="16" spans="2:13">
      <c r="H16" s="62"/>
      <c r="I16" s="71"/>
      <c r="J16" s="62"/>
      <c r="K16" s="62"/>
      <c r="L16" s="62"/>
    </row>
    <row r="18" spans="2:12" ht="13.5" customHeight="1">
      <c r="B18" s="1825" t="s">
        <v>738</v>
      </c>
      <c r="C18" s="1825"/>
      <c r="D18" s="1825"/>
      <c r="E18" s="1825"/>
      <c r="F18" s="1825"/>
      <c r="G18" s="1825"/>
      <c r="H18" s="1825"/>
      <c r="I18" s="1825"/>
      <c r="J18" s="1825"/>
      <c r="K18" s="1825"/>
      <c r="L18" s="1825"/>
    </row>
    <row r="19" spans="2:12" ht="15.75" customHeight="1">
      <c r="B19" s="1894" t="str">
        <f>CONCATENATE("Sources of Irrigation in the district of ",District!A1)</f>
        <v>Sources of Irrigation in the district of Purba Medinipur</v>
      </c>
      <c r="C19" s="1894"/>
      <c r="D19" s="1894"/>
      <c r="E19" s="1894"/>
      <c r="F19" s="1894"/>
      <c r="G19" s="1894"/>
      <c r="H19" s="1894"/>
      <c r="I19" s="1894"/>
      <c r="J19" s="1894"/>
      <c r="K19" s="1894"/>
      <c r="L19" s="1894"/>
    </row>
    <row r="20" spans="2:12">
      <c r="B20" s="7"/>
      <c r="C20" s="7"/>
      <c r="D20" s="7"/>
      <c r="E20" s="7"/>
      <c r="F20" s="7"/>
      <c r="G20" s="7"/>
      <c r="H20" s="7"/>
      <c r="I20" s="7"/>
      <c r="L20" s="485" t="s">
        <v>1001</v>
      </c>
    </row>
    <row r="21" spans="2:12" ht="20.100000000000001" customHeight="1">
      <c r="B21" s="1866" t="s">
        <v>899</v>
      </c>
      <c r="C21" s="1906"/>
      <c r="D21" s="1866" t="s">
        <v>1613</v>
      </c>
      <c r="E21" s="1906"/>
      <c r="F21" s="160" t="s">
        <v>1614</v>
      </c>
      <c r="G21" s="160" t="s">
        <v>1615</v>
      </c>
      <c r="H21" s="160" t="s">
        <v>1616</v>
      </c>
      <c r="I21" s="160" t="s">
        <v>1617</v>
      </c>
      <c r="J21" s="160" t="s">
        <v>1618</v>
      </c>
      <c r="K21" s="160" t="s">
        <v>1619</v>
      </c>
      <c r="L21" s="831" t="s">
        <v>1128</v>
      </c>
    </row>
    <row r="22" spans="2:12" ht="20.100000000000001" customHeight="1">
      <c r="B22" s="2094" t="s">
        <v>955</v>
      </c>
      <c r="C22" s="2099"/>
      <c r="D22" s="2094" t="s">
        <v>956</v>
      </c>
      <c r="E22" s="2099"/>
      <c r="F22" s="134" t="s">
        <v>957</v>
      </c>
      <c r="G22" s="134" t="s">
        <v>958</v>
      </c>
      <c r="H22" s="134" t="s">
        <v>959</v>
      </c>
      <c r="I22" s="134" t="s">
        <v>961</v>
      </c>
      <c r="J22" s="134" t="s">
        <v>962</v>
      </c>
      <c r="K22" s="134" t="s">
        <v>990</v>
      </c>
      <c r="L22" s="136" t="s">
        <v>991</v>
      </c>
    </row>
    <row r="23" spans="2:12" ht="21" customHeight="1">
      <c r="B23" s="2151" t="s">
        <v>1356</v>
      </c>
      <c r="C23" s="2153"/>
      <c r="D23" s="2164">
        <v>160308</v>
      </c>
      <c r="E23" s="2165"/>
      <c r="F23" s="1610">
        <v>157</v>
      </c>
      <c r="G23" s="1610">
        <v>4509</v>
      </c>
      <c r="H23" s="1610" t="s">
        <v>1384</v>
      </c>
      <c r="I23" s="1610">
        <v>9213</v>
      </c>
      <c r="J23" s="1610">
        <v>109</v>
      </c>
      <c r="K23" s="145" t="s">
        <v>1384</v>
      </c>
      <c r="L23" s="144" t="s">
        <v>918</v>
      </c>
    </row>
    <row r="24" spans="2:12" ht="21" customHeight="1">
      <c r="B24" s="2160" t="s">
        <v>306</v>
      </c>
      <c r="C24" s="2161"/>
      <c r="D24" s="1957">
        <v>160308</v>
      </c>
      <c r="E24" s="1958"/>
      <c r="F24" s="1610">
        <v>157</v>
      </c>
      <c r="G24" s="1610">
        <v>4509</v>
      </c>
      <c r="H24" s="1610" t="s">
        <v>1384</v>
      </c>
      <c r="I24" s="1610">
        <v>9213</v>
      </c>
      <c r="J24" s="1610">
        <v>109</v>
      </c>
      <c r="K24" s="145" t="s">
        <v>1384</v>
      </c>
      <c r="L24" s="144" t="s">
        <v>918</v>
      </c>
    </row>
    <row r="25" spans="2:12" ht="21" customHeight="1">
      <c r="B25" s="2160" t="s">
        <v>1357</v>
      </c>
      <c r="C25" s="2161"/>
      <c r="D25" s="1957">
        <v>172523</v>
      </c>
      <c r="E25" s="1958"/>
      <c r="F25" s="1610">
        <v>157</v>
      </c>
      <c r="G25" s="1610">
        <v>4509</v>
      </c>
      <c r="H25" s="1610" t="s">
        <v>1384</v>
      </c>
      <c r="I25" s="1610">
        <v>9213</v>
      </c>
      <c r="J25" s="1610">
        <v>109</v>
      </c>
      <c r="K25" s="145" t="s">
        <v>1384</v>
      </c>
      <c r="L25" s="144" t="s">
        <v>918</v>
      </c>
    </row>
    <row r="26" spans="2:12" ht="21" customHeight="1">
      <c r="B26" s="2160" t="s">
        <v>1673</v>
      </c>
      <c r="C26" s="2161"/>
      <c r="D26" s="1957">
        <v>188158</v>
      </c>
      <c r="E26" s="1958"/>
      <c r="F26" s="1610">
        <v>143</v>
      </c>
      <c r="G26" s="1610">
        <v>3126</v>
      </c>
      <c r="H26" s="1610">
        <v>1802</v>
      </c>
      <c r="I26" s="1610">
        <v>8116</v>
      </c>
      <c r="J26" s="1610">
        <v>132</v>
      </c>
      <c r="K26" s="145" t="s">
        <v>918</v>
      </c>
      <c r="L26" s="144" t="s">
        <v>918</v>
      </c>
    </row>
    <row r="27" spans="2:12" ht="21" customHeight="1">
      <c r="B27" s="2162" t="s">
        <v>1639</v>
      </c>
      <c r="C27" s="2163"/>
      <c r="D27" s="1962">
        <v>188754</v>
      </c>
      <c r="E27" s="1963"/>
      <c r="F27" s="111">
        <v>147</v>
      </c>
      <c r="G27" s="111">
        <v>3806</v>
      </c>
      <c r="H27" s="111">
        <v>1932</v>
      </c>
      <c r="I27" s="111">
        <v>6485</v>
      </c>
      <c r="J27" s="111">
        <v>138</v>
      </c>
      <c r="K27" s="587" t="s">
        <v>918</v>
      </c>
      <c r="L27" s="574" t="s">
        <v>918</v>
      </c>
    </row>
    <row r="28" spans="2:12">
      <c r="B28" s="1409" t="s">
        <v>56</v>
      </c>
      <c r="C28" s="1242" t="s">
        <v>49</v>
      </c>
      <c r="D28" s="1410"/>
      <c r="E28" s="1409" t="s">
        <v>1625</v>
      </c>
      <c r="F28" s="1242" t="s">
        <v>52</v>
      </c>
      <c r="G28" s="1410"/>
      <c r="H28" s="1063" t="s">
        <v>1276</v>
      </c>
      <c r="I28" s="1096" t="s">
        <v>482</v>
      </c>
      <c r="J28" s="263"/>
    </row>
    <row r="29" spans="2:12">
      <c r="B29" s="1409" t="s">
        <v>1623</v>
      </c>
      <c r="C29" s="1242" t="s">
        <v>50</v>
      </c>
      <c r="D29" s="1410"/>
      <c r="E29" s="1409" t="s">
        <v>1626</v>
      </c>
      <c r="F29" s="1242" t="s">
        <v>53</v>
      </c>
      <c r="G29" s="1410"/>
      <c r="H29" s="1119"/>
      <c r="I29" s="1095" t="s">
        <v>1460</v>
      </c>
      <c r="J29" s="282"/>
    </row>
    <row r="30" spans="2:12">
      <c r="B30" s="1409" t="s">
        <v>1624</v>
      </c>
      <c r="C30" s="1242" t="s">
        <v>51</v>
      </c>
      <c r="D30" s="1410"/>
      <c r="E30" s="1409" t="s">
        <v>1627</v>
      </c>
      <c r="F30" s="1242" t="s">
        <v>54</v>
      </c>
      <c r="G30" s="1410"/>
    </row>
  </sheetData>
  <mergeCells count="20">
    <mergeCell ref="D27:E27"/>
    <mergeCell ref="B19:L19"/>
    <mergeCell ref="B23:C23"/>
    <mergeCell ref="B24:C24"/>
    <mergeCell ref="B27:C27"/>
    <mergeCell ref="B21:C21"/>
    <mergeCell ref="B22:C22"/>
    <mergeCell ref="D24:E24"/>
    <mergeCell ref="D25:E25"/>
    <mergeCell ref="B25:C25"/>
    <mergeCell ref="D21:E21"/>
    <mergeCell ref="D22:E22"/>
    <mergeCell ref="D23:E23"/>
    <mergeCell ref="B26:C26"/>
    <mergeCell ref="D26:E26"/>
    <mergeCell ref="B1:L1"/>
    <mergeCell ref="B2:L2"/>
    <mergeCell ref="B4:B5"/>
    <mergeCell ref="C4:L4"/>
    <mergeCell ref="B18:L18"/>
  </mergeCells>
  <phoneticPr fontId="0" type="noConversion"/>
  <conditionalFormatting sqref="C27:C1048576 E27:E1048576 A1:B1048576 C1:C22 D1:D1048576 F1:XFD1048576 E1:E22">
    <cfRule type="cellIs" dxfId="6" priority="1" operator="equal">
      <formula>".."</formula>
    </cfRule>
  </conditionalFormatting>
  <pageMargins left="0.1" right="0.1" top="0.52" bottom="0.1" header="0.56000000000000005" footer="0.32"/>
  <pageSetup paperSize="9" orientation="landscape" blackAndWhite="1" r:id="rId1"/>
  <headerFooter alignWithMargins="0"/>
</worksheet>
</file>

<file path=xl/worksheets/sheet51.xml><?xml version="1.0" encoding="utf-8"?>
<worksheet xmlns="http://schemas.openxmlformats.org/spreadsheetml/2006/main" xmlns:r="http://schemas.openxmlformats.org/officeDocument/2006/relationships">
  <dimension ref="A1:I38"/>
  <sheetViews>
    <sheetView topLeftCell="A22" workbookViewId="0">
      <selection activeCell="C3" sqref="C3"/>
    </sheetView>
  </sheetViews>
  <sheetFormatPr defaultRowHeight="12.75"/>
  <cols>
    <col min="1" max="1" width="13.140625" customWidth="1"/>
    <col min="2" max="2" width="12.5703125" customWidth="1"/>
    <col min="3" max="3" width="15" customWidth="1"/>
    <col min="4" max="4" width="13.85546875" customWidth="1"/>
    <col min="5" max="5" width="13.5703125" customWidth="1"/>
    <col min="6" max="6" width="14.85546875" customWidth="1"/>
  </cols>
  <sheetData>
    <row r="1" spans="1:9" ht="12.75" customHeight="1">
      <c r="A1" s="1825" t="s">
        <v>737</v>
      </c>
      <c r="B1" s="1825"/>
      <c r="C1" s="1825"/>
      <c r="D1" s="1825"/>
      <c r="E1" s="1825"/>
      <c r="F1" s="1825"/>
    </row>
    <row r="2" spans="1:9" ht="15.75" customHeight="1">
      <c r="A2" s="1835" t="str">
        <f>CONCATENATE("Fertiliser Consumed in the district of ",District!A1)</f>
        <v>Fertiliser Consumed in the district of Purba Medinipur</v>
      </c>
      <c r="B2" s="1835"/>
      <c r="C2" s="1835"/>
      <c r="D2" s="1835"/>
      <c r="E2" s="1835"/>
      <c r="F2" s="1835"/>
      <c r="G2" s="37"/>
      <c r="H2" s="37"/>
      <c r="I2" s="37"/>
    </row>
    <row r="3" spans="1:9" ht="13.5" customHeight="1">
      <c r="A3" s="7"/>
      <c r="B3" s="7"/>
      <c r="C3" s="7"/>
      <c r="D3" s="2166" t="s">
        <v>1243</v>
      </c>
      <c r="E3" s="2166"/>
      <c r="F3" s="2166"/>
      <c r="G3" s="7"/>
      <c r="I3" s="7"/>
    </row>
    <row r="4" spans="1:9" ht="18" customHeight="1">
      <c r="A4" s="1829" t="s">
        <v>899</v>
      </c>
      <c r="B4" s="1828"/>
      <c r="C4" s="160" t="s">
        <v>1298</v>
      </c>
      <c r="D4" s="429" t="s">
        <v>1299</v>
      </c>
      <c r="E4" s="160" t="s">
        <v>1300</v>
      </c>
      <c r="F4" s="831" t="s">
        <v>979</v>
      </c>
      <c r="G4" s="7"/>
      <c r="H4" s="7"/>
      <c r="I4" s="7"/>
    </row>
    <row r="5" spans="1:9" ht="18" customHeight="1">
      <c r="A5" s="2094" t="s">
        <v>955</v>
      </c>
      <c r="B5" s="2099"/>
      <c r="C5" s="134" t="s">
        <v>956</v>
      </c>
      <c r="D5" s="134" t="s">
        <v>957</v>
      </c>
      <c r="E5" s="134" t="s">
        <v>958</v>
      </c>
      <c r="F5" s="134" t="s">
        <v>959</v>
      </c>
      <c r="G5" s="39"/>
      <c r="H5" s="39"/>
      <c r="I5" s="39"/>
    </row>
    <row r="6" spans="1:9" ht="24" customHeight="1">
      <c r="A6" s="2167" t="s">
        <v>1356</v>
      </c>
      <c r="B6" s="2168"/>
      <c r="C6" s="956">
        <v>35.200000000000003</v>
      </c>
      <c r="D6" s="1494">
        <v>25.9</v>
      </c>
      <c r="E6" s="956">
        <v>26.7</v>
      </c>
      <c r="F6" s="1493">
        <f>C6+D6+E6</f>
        <v>87.8</v>
      </c>
    </row>
    <row r="7" spans="1:9" ht="24" customHeight="1">
      <c r="A7" s="2160" t="s">
        <v>1047</v>
      </c>
      <c r="B7" s="2161"/>
      <c r="C7" s="956">
        <v>35.1</v>
      </c>
      <c r="D7" s="1228">
        <v>27</v>
      </c>
      <c r="E7" s="1229">
        <v>22</v>
      </c>
      <c r="F7" s="1493">
        <f>C7+D7+E7</f>
        <v>84.1</v>
      </c>
    </row>
    <row r="8" spans="1:9" ht="24" customHeight="1">
      <c r="A8" s="2160" t="s">
        <v>629</v>
      </c>
      <c r="B8" s="2161"/>
      <c r="C8" s="956">
        <v>46.9</v>
      </c>
      <c r="D8" s="1228">
        <v>31.5</v>
      </c>
      <c r="E8" s="1229">
        <v>18.399999999999999</v>
      </c>
      <c r="F8" s="1493">
        <f>C8+D8+E8</f>
        <v>96.800000000000011</v>
      </c>
    </row>
    <row r="9" spans="1:9" ht="24" customHeight="1">
      <c r="A9" s="2160" t="s">
        <v>628</v>
      </c>
      <c r="B9" s="2161"/>
      <c r="C9" s="956">
        <v>41.1</v>
      </c>
      <c r="D9" s="1228">
        <v>32.799999999999997</v>
      </c>
      <c r="E9" s="1229">
        <v>21.2</v>
      </c>
      <c r="F9" s="1493">
        <f>C9+D9+E9</f>
        <v>95.100000000000009</v>
      </c>
    </row>
    <row r="10" spans="1:9" ht="24" customHeight="1">
      <c r="A10" s="2162" t="s">
        <v>1639</v>
      </c>
      <c r="B10" s="2163"/>
      <c r="C10" s="958">
        <v>37.799999999999997</v>
      </c>
      <c r="D10" s="1192">
        <v>18.3</v>
      </c>
      <c r="E10" s="1193">
        <v>20.2</v>
      </c>
      <c r="F10" s="959">
        <f>C10+D10+E10</f>
        <v>76.3</v>
      </c>
      <c r="G10" s="761"/>
      <c r="H10" s="761"/>
      <c r="I10" s="761"/>
    </row>
    <row r="11" spans="1:9">
      <c r="A11" s="8"/>
      <c r="B11" s="8"/>
      <c r="C11" s="327"/>
      <c r="E11" s="562"/>
      <c r="F11" s="1104" t="s">
        <v>299</v>
      </c>
    </row>
    <row r="12" spans="1:9">
      <c r="A12" s="8"/>
      <c r="B12" s="8"/>
      <c r="C12" s="327"/>
      <c r="E12" s="562"/>
      <c r="F12" s="773"/>
    </row>
    <row r="13" spans="1:9">
      <c r="A13" s="2"/>
      <c r="B13" s="2"/>
      <c r="C13" s="319"/>
      <c r="D13" s="340"/>
      <c r="E13" s="340"/>
    </row>
    <row r="14" spans="1:9" ht="14.25" customHeight="1">
      <c r="A14" s="1825" t="s">
        <v>736</v>
      </c>
      <c r="B14" s="1825"/>
      <c r="C14" s="1825"/>
      <c r="D14" s="1825"/>
      <c r="E14" s="1825"/>
      <c r="F14" s="1825"/>
    </row>
    <row r="15" spans="1:9" ht="33.75" customHeight="1">
      <c r="A15" s="1857" t="str">
        <f>CONCATENATE("Warehousing and Cold Storage Facilities available to Cultivators 
in the district of ",District!A1)</f>
        <v>Warehousing and Cold Storage Facilities available to Cultivators 
in the district of Purba Medinipur</v>
      </c>
      <c r="B15" s="1857"/>
      <c r="C15" s="1857"/>
      <c r="D15" s="1857"/>
      <c r="E15" s="1857"/>
      <c r="F15" s="1857"/>
    </row>
    <row r="16" spans="1:9" ht="20.100000000000001" customHeight="1">
      <c r="A16" s="1831" t="s">
        <v>899</v>
      </c>
      <c r="B16" s="1829" t="s">
        <v>778</v>
      </c>
      <c r="C16" s="1828"/>
      <c r="D16" s="1829" t="s">
        <v>779</v>
      </c>
      <c r="E16" s="1828"/>
      <c r="F16" s="1833" t="s">
        <v>520</v>
      </c>
    </row>
    <row r="17" spans="1:6" ht="22.5" customHeight="1">
      <c r="A17" s="1832"/>
      <c r="B17" s="133" t="s">
        <v>902</v>
      </c>
      <c r="C17" s="163" t="s">
        <v>65</v>
      </c>
      <c r="D17" s="133" t="s">
        <v>902</v>
      </c>
      <c r="E17" s="163" t="s">
        <v>65</v>
      </c>
      <c r="F17" s="1834"/>
    </row>
    <row r="18" spans="1:6" ht="20.100000000000001" customHeight="1">
      <c r="A18" s="134" t="s">
        <v>955</v>
      </c>
      <c r="B18" s="136" t="s">
        <v>956</v>
      </c>
      <c r="C18" s="136" t="s">
        <v>957</v>
      </c>
      <c r="D18" s="134" t="s">
        <v>958</v>
      </c>
      <c r="E18" s="136" t="s">
        <v>959</v>
      </c>
      <c r="F18" s="192" t="s">
        <v>961</v>
      </c>
    </row>
    <row r="19" spans="1:6" ht="24" customHeight="1">
      <c r="A19" s="284" t="s">
        <v>1356</v>
      </c>
      <c r="B19" s="1484">
        <v>22</v>
      </c>
      <c r="C19" s="1484">
        <v>60000</v>
      </c>
      <c r="D19" s="284">
        <v>1</v>
      </c>
      <c r="E19" s="1484">
        <v>9900</v>
      </c>
      <c r="F19" s="1484">
        <v>14000</v>
      </c>
    </row>
    <row r="20" spans="1:6" ht="24" customHeight="1">
      <c r="A20" s="284" t="s">
        <v>306</v>
      </c>
      <c r="B20" s="1484">
        <v>22</v>
      </c>
      <c r="C20" s="1484">
        <v>65000</v>
      </c>
      <c r="D20" s="284">
        <v>1</v>
      </c>
      <c r="E20" s="1484">
        <v>9900</v>
      </c>
      <c r="F20" s="1484">
        <v>15000</v>
      </c>
    </row>
    <row r="21" spans="1:6" ht="24" customHeight="1">
      <c r="A21" s="284" t="s">
        <v>1357</v>
      </c>
      <c r="B21" s="284">
        <v>22</v>
      </c>
      <c r="C21" s="284">
        <v>65000</v>
      </c>
      <c r="D21" s="284">
        <v>1</v>
      </c>
      <c r="E21" s="284">
        <v>9900</v>
      </c>
      <c r="F21" s="284">
        <v>15000</v>
      </c>
    </row>
    <row r="22" spans="1:6" ht="24" customHeight="1">
      <c r="A22" s="284" t="s">
        <v>628</v>
      </c>
      <c r="B22" s="284">
        <v>22</v>
      </c>
      <c r="C22" s="284">
        <v>65000</v>
      </c>
      <c r="D22" s="284">
        <v>1</v>
      </c>
      <c r="E22" s="284">
        <v>9900</v>
      </c>
      <c r="F22" s="284">
        <v>15000</v>
      </c>
    </row>
    <row r="23" spans="1:6" ht="24" customHeight="1">
      <c r="A23" s="732" t="s">
        <v>1639</v>
      </c>
      <c r="B23" s="732">
        <v>22</v>
      </c>
      <c r="C23" s="732">
        <v>65000</v>
      </c>
      <c r="D23" s="732">
        <v>1</v>
      </c>
      <c r="E23" s="732">
        <v>9900</v>
      </c>
      <c r="F23" s="732">
        <v>15000</v>
      </c>
    </row>
    <row r="24" spans="1:6">
      <c r="A24" s="245"/>
      <c r="B24" s="83"/>
      <c r="C24" s="2155" t="s">
        <v>1067</v>
      </c>
      <c r="D24" s="2155"/>
      <c r="E24" s="2155"/>
      <c r="F24" s="2155"/>
    </row>
    <row r="25" spans="1:6">
      <c r="A25" s="245"/>
      <c r="B25" s="83"/>
      <c r="C25" s="331"/>
      <c r="D25" s="331"/>
      <c r="E25" s="331"/>
      <c r="F25" s="331"/>
    </row>
    <row r="26" spans="1:6">
      <c r="E26" s="2169"/>
      <c r="F26" s="2169"/>
    </row>
    <row r="27" spans="1:6">
      <c r="A27" s="1825" t="s">
        <v>735</v>
      </c>
      <c r="B27" s="1825"/>
      <c r="C27" s="1825"/>
      <c r="D27" s="1825"/>
      <c r="E27" s="1825"/>
      <c r="F27" s="1825"/>
    </row>
    <row r="28" spans="1:6" ht="49.5" customHeight="1">
      <c r="A28" s="1853" t="str">
        <f>CONCATENATE("Estimated Production of Milk (Cow, Buffalo &amp; Goat) 
and Egg (Hen &amp; Duck) in the district of
 ",District!A1, " and West Bengal")</f>
        <v>Estimated Production of Milk (Cow, Buffalo &amp; Goat) 
and Egg (Hen &amp; Duck) in the district of
 Purba Medinipur and West Bengal</v>
      </c>
      <c r="B28" s="1853"/>
      <c r="C28" s="1853"/>
      <c r="D28" s="1853"/>
      <c r="E28" s="1853"/>
      <c r="F28" s="1853"/>
    </row>
    <row r="29" spans="1:6" ht="20.100000000000001" customHeight="1">
      <c r="A29" s="1866" t="s">
        <v>899</v>
      </c>
      <c r="B29" s="2046"/>
      <c r="C29" s="1829" t="s">
        <v>617</v>
      </c>
      <c r="D29" s="1828"/>
      <c r="E29" s="2046" t="s">
        <v>614</v>
      </c>
      <c r="F29" s="1906"/>
    </row>
    <row r="30" spans="1:6" ht="20.100000000000001" customHeight="1">
      <c r="A30" s="1860"/>
      <c r="B30" s="2047"/>
      <c r="C30" s="164" t="s">
        <v>1531</v>
      </c>
      <c r="D30" s="1163" t="s">
        <v>1532</v>
      </c>
      <c r="E30" s="133" t="s">
        <v>1531</v>
      </c>
      <c r="F30" s="422" t="s">
        <v>1532</v>
      </c>
    </row>
    <row r="31" spans="1:6" ht="20.100000000000001" customHeight="1">
      <c r="A31" s="2094" t="s">
        <v>955</v>
      </c>
      <c r="B31" s="2095"/>
      <c r="C31" s="134" t="s">
        <v>956</v>
      </c>
      <c r="D31" s="135" t="s">
        <v>957</v>
      </c>
      <c r="E31" s="134" t="s">
        <v>958</v>
      </c>
      <c r="F31" s="136" t="s">
        <v>959</v>
      </c>
    </row>
    <row r="32" spans="1:6" ht="24" customHeight="1">
      <c r="A32" s="2167" t="s">
        <v>1356</v>
      </c>
      <c r="B32" s="2168"/>
      <c r="C32" s="961">
        <v>236</v>
      </c>
      <c r="D32" s="1492">
        <v>4300</v>
      </c>
      <c r="E32" s="961">
        <v>166543</v>
      </c>
      <c r="F32" s="1493">
        <v>3697839</v>
      </c>
    </row>
    <row r="33" spans="1:6" ht="24" customHeight="1">
      <c r="A33" s="2160" t="s">
        <v>1047</v>
      </c>
      <c r="B33" s="2161"/>
      <c r="C33" s="961">
        <v>240</v>
      </c>
      <c r="D33" s="1492">
        <v>4472</v>
      </c>
      <c r="E33" s="961">
        <v>178550</v>
      </c>
      <c r="F33" s="1493">
        <v>4000869</v>
      </c>
    </row>
    <row r="34" spans="1:6" ht="24" customHeight="1">
      <c r="A34" s="2160" t="s">
        <v>629</v>
      </c>
      <c r="B34" s="2161"/>
      <c r="C34" s="961">
        <v>247</v>
      </c>
      <c r="D34" s="1492">
        <v>4660</v>
      </c>
      <c r="E34" s="961">
        <v>191791</v>
      </c>
      <c r="F34" s="1493">
        <v>4337272</v>
      </c>
    </row>
    <row r="35" spans="1:6" ht="24" customHeight="1">
      <c r="A35" s="2160" t="s">
        <v>628</v>
      </c>
      <c r="B35" s="2161"/>
      <c r="C35" s="961">
        <v>253</v>
      </c>
      <c r="D35" s="1492">
        <v>4860</v>
      </c>
      <c r="E35" s="961">
        <v>206536</v>
      </c>
      <c r="F35" s="1493">
        <v>4707268</v>
      </c>
    </row>
    <row r="36" spans="1:6" ht="24" customHeight="1">
      <c r="A36" s="2162" t="s">
        <v>1639</v>
      </c>
      <c r="B36" s="2163"/>
      <c r="C36" s="963">
        <v>250</v>
      </c>
      <c r="D36" s="964">
        <v>4906</v>
      </c>
      <c r="E36" s="963">
        <v>206285</v>
      </c>
      <c r="F36" s="959">
        <v>4746013</v>
      </c>
    </row>
    <row r="37" spans="1:6">
      <c r="A37" s="772"/>
      <c r="B37" s="83"/>
      <c r="E37" s="960"/>
      <c r="F37" s="1104" t="s">
        <v>300</v>
      </c>
    </row>
    <row r="38" spans="1:6">
      <c r="A38" s="2"/>
      <c r="B38" s="2"/>
      <c r="C38" s="327"/>
      <c r="D38" s="851"/>
      <c r="E38" s="851"/>
      <c r="F38" s="851"/>
    </row>
  </sheetData>
  <mergeCells count="29">
    <mergeCell ref="A36:B36"/>
    <mergeCell ref="A35:B35"/>
    <mergeCell ref="E29:F29"/>
    <mergeCell ref="C29:D29"/>
    <mergeCell ref="A31:B31"/>
    <mergeCell ref="A32:B32"/>
    <mergeCell ref="A33:B33"/>
    <mergeCell ref="A34:B34"/>
    <mergeCell ref="A29:B30"/>
    <mergeCell ref="A28:F28"/>
    <mergeCell ref="A27:F27"/>
    <mergeCell ref="B16:C16"/>
    <mergeCell ref="D16:E16"/>
    <mergeCell ref="C24:F24"/>
    <mergeCell ref="F16:F17"/>
    <mergeCell ref="E26:F26"/>
    <mergeCell ref="A16:A17"/>
    <mergeCell ref="A15:F15"/>
    <mergeCell ref="A10:B10"/>
    <mergeCell ref="A1:F1"/>
    <mergeCell ref="A2:F2"/>
    <mergeCell ref="A14:F14"/>
    <mergeCell ref="D3:F3"/>
    <mergeCell ref="A4:B4"/>
    <mergeCell ref="A5:B5"/>
    <mergeCell ref="A6:B6"/>
    <mergeCell ref="A7:B7"/>
    <mergeCell ref="A8:B8"/>
    <mergeCell ref="A9:B9"/>
  </mergeCells>
  <phoneticPr fontId="0" type="noConversion"/>
  <printOptions horizontalCentered="1"/>
  <pageMargins left="0.15" right="0.1" top="0.63" bottom="0.1" header="0.38" footer="0.1"/>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dimension ref="A1:J41"/>
  <sheetViews>
    <sheetView topLeftCell="A19" workbookViewId="0">
      <selection activeCell="J31" sqref="J31"/>
    </sheetView>
  </sheetViews>
  <sheetFormatPr defaultRowHeight="12.75"/>
  <cols>
    <col min="1" max="1" width="3.42578125" customWidth="1"/>
    <col min="2" max="2" width="17.85546875" customWidth="1"/>
    <col min="3" max="7" width="12.7109375" customWidth="1"/>
  </cols>
  <sheetData>
    <row r="1" spans="1:10" ht="14.25" customHeight="1">
      <c r="A1" s="1825" t="s">
        <v>734</v>
      </c>
      <c r="B1" s="1825"/>
      <c r="C1" s="1825"/>
      <c r="D1" s="1825"/>
      <c r="E1" s="1825"/>
      <c r="F1" s="1825"/>
      <c r="G1" s="1825"/>
    </row>
    <row r="2" spans="1:10" ht="18.75" customHeight="1">
      <c r="A2" s="1835" t="s">
        <v>1369</v>
      </c>
      <c r="B2" s="1835"/>
      <c r="C2" s="1835"/>
      <c r="D2" s="1835"/>
      <c r="E2" s="1835"/>
      <c r="F2" s="1835"/>
      <c r="G2" s="1835"/>
      <c r="H2" s="26"/>
      <c r="I2" s="26"/>
      <c r="J2" s="26"/>
    </row>
    <row r="3" spans="1:10" ht="13.5" customHeight="1">
      <c r="A3" s="7"/>
      <c r="B3" s="7"/>
      <c r="C3" s="7"/>
      <c r="D3" s="7"/>
      <c r="E3" s="7"/>
      <c r="F3" s="7"/>
      <c r="G3" s="485" t="s">
        <v>1001</v>
      </c>
    </row>
    <row r="4" spans="1:10" ht="18" customHeight="1">
      <c r="A4" s="1829" t="s">
        <v>1099</v>
      </c>
      <c r="B4" s="1828"/>
      <c r="C4" s="133">
        <v>1994</v>
      </c>
      <c r="D4" s="1664">
        <v>1997</v>
      </c>
      <c r="E4" s="133">
        <v>2003</v>
      </c>
      <c r="F4" s="50" t="s">
        <v>1453</v>
      </c>
      <c r="G4" s="58" t="s">
        <v>1723</v>
      </c>
    </row>
    <row r="5" spans="1:10" ht="18" customHeight="1">
      <c r="A5" s="2094" t="s">
        <v>955</v>
      </c>
      <c r="B5" s="2127"/>
      <c r="C5" s="135" t="s">
        <v>956</v>
      </c>
      <c r="D5" s="134" t="s">
        <v>957</v>
      </c>
      <c r="E5" s="135" t="s">
        <v>958</v>
      </c>
      <c r="F5" s="134" t="s">
        <v>959</v>
      </c>
      <c r="G5" s="136" t="s">
        <v>961</v>
      </c>
    </row>
    <row r="6" spans="1:10" s="128" customFormat="1" ht="28.5" customHeight="1">
      <c r="A6" s="549" t="s">
        <v>1489</v>
      </c>
      <c r="B6" s="542" t="s">
        <v>101</v>
      </c>
      <c r="C6" s="543"/>
      <c r="D6" s="544"/>
      <c r="E6" s="543"/>
      <c r="F6" s="544"/>
      <c r="G6" s="820"/>
    </row>
    <row r="7" spans="1:10" s="128" customFormat="1" ht="28.5" customHeight="1">
      <c r="A7" s="366"/>
      <c r="B7" s="367" t="s">
        <v>102</v>
      </c>
      <c r="C7" s="1666">
        <v>917702</v>
      </c>
      <c r="D7" s="120">
        <v>944789</v>
      </c>
      <c r="E7" s="124">
        <v>1334295</v>
      </c>
      <c r="F7" s="1667">
        <v>247672</v>
      </c>
      <c r="G7" s="110">
        <v>461940</v>
      </c>
    </row>
    <row r="8" spans="1:10" s="128" customFormat="1" ht="28.5" customHeight="1">
      <c r="A8" s="366"/>
      <c r="B8" s="367" t="s">
        <v>780</v>
      </c>
      <c r="C8" s="115">
        <v>921727</v>
      </c>
      <c r="D8" s="1667">
        <v>949117</v>
      </c>
      <c r="E8" s="1665">
        <v>585241</v>
      </c>
      <c r="F8" s="1667">
        <v>314359</v>
      </c>
      <c r="G8" s="110">
        <v>23102</v>
      </c>
    </row>
    <row r="9" spans="1:10" s="128" customFormat="1" ht="28.5" customHeight="1">
      <c r="A9" s="366"/>
      <c r="B9" s="367" t="s">
        <v>139</v>
      </c>
      <c r="C9" s="115">
        <v>1245440</v>
      </c>
      <c r="D9" s="1667">
        <v>1282278</v>
      </c>
      <c r="E9" s="1665">
        <v>1627271</v>
      </c>
      <c r="F9" s="1667">
        <v>844231</v>
      </c>
      <c r="G9" s="110">
        <v>542288</v>
      </c>
    </row>
    <row r="10" spans="1:10" s="128" customFormat="1" ht="28.5" customHeight="1">
      <c r="A10" s="366"/>
      <c r="B10" s="545" t="s">
        <v>781</v>
      </c>
      <c r="C10" s="547">
        <f>SUM(C6:C9)</f>
        <v>3084869</v>
      </c>
      <c r="D10" s="547">
        <f>SUM(D6:D9)</f>
        <v>3176184</v>
      </c>
      <c r="E10" s="547">
        <f>SUM(E6:E9)</f>
        <v>3546807</v>
      </c>
      <c r="F10" s="547">
        <f>SUM(F6:F9)</f>
        <v>1406262</v>
      </c>
      <c r="G10" s="547">
        <f>SUM(G6:G9)</f>
        <v>1027330</v>
      </c>
    </row>
    <row r="11" spans="1:10" s="128" customFormat="1" ht="28.5" customHeight="1">
      <c r="A11" s="549" t="s">
        <v>1490</v>
      </c>
      <c r="B11" s="542" t="s">
        <v>140</v>
      </c>
      <c r="C11" s="465"/>
      <c r="D11" s="550"/>
      <c r="E11" s="465"/>
      <c r="F11" s="551"/>
      <c r="G11" s="712"/>
    </row>
    <row r="12" spans="1:10" s="128" customFormat="1" ht="28.5" customHeight="1">
      <c r="A12" s="366"/>
      <c r="B12" s="367" t="s">
        <v>102</v>
      </c>
      <c r="C12" s="1666">
        <v>12671</v>
      </c>
      <c r="D12" s="120">
        <v>12831</v>
      </c>
      <c r="E12" s="124">
        <v>17563</v>
      </c>
      <c r="F12" s="1667">
        <v>103</v>
      </c>
      <c r="G12" s="110">
        <v>1993</v>
      </c>
    </row>
    <row r="13" spans="1:10" s="128" customFormat="1" ht="28.5" customHeight="1">
      <c r="A13" s="366"/>
      <c r="B13" s="367" t="s">
        <v>780</v>
      </c>
      <c r="C13" s="1666">
        <v>30545</v>
      </c>
      <c r="D13" s="120">
        <v>30930</v>
      </c>
      <c r="E13" s="124">
        <v>45282</v>
      </c>
      <c r="F13" s="1667">
        <v>697</v>
      </c>
      <c r="G13" s="110">
        <v>3272</v>
      </c>
    </row>
    <row r="14" spans="1:10" s="128" customFormat="1" ht="28.5" customHeight="1">
      <c r="A14" s="366"/>
      <c r="B14" s="367" t="s">
        <v>139</v>
      </c>
      <c r="C14" s="1666">
        <v>13351</v>
      </c>
      <c r="D14" s="120">
        <v>13520</v>
      </c>
      <c r="E14" s="124">
        <v>16435</v>
      </c>
      <c r="F14" s="145" t="s">
        <v>918</v>
      </c>
      <c r="G14" s="956">
        <v>2393</v>
      </c>
    </row>
    <row r="15" spans="1:10" s="128" customFormat="1" ht="28.5" customHeight="1">
      <c r="A15" s="117"/>
      <c r="B15" s="545" t="s">
        <v>782</v>
      </c>
      <c r="C15" s="547">
        <f>SUM(C12:C14)</f>
        <v>56567</v>
      </c>
      <c r="D15" s="546">
        <f>SUM(D12:D14)</f>
        <v>57281</v>
      </c>
      <c r="E15" s="547">
        <f>SUM(E12:E14)</f>
        <v>79280</v>
      </c>
      <c r="F15" s="548">
        <f>SUM(F12:F14)</f>
        <v>800</v>
      </c>
      <c r="G15" s="548">
        <f>SUM(G12:G14)</f>
        <v>7658</v>
      </c>
    </row>
    <row r="16" spans="1:10" s="128" customFormat="1" ht="28.5" customHeight="1">
      <c r="A16" s="549" t="s">
        <v>1491</v>
      </c>
      <c r="B16" s="367" t="s">
        <v>323</v>
      </c>
      <c r="C16" s="1666">
        <v>113055</v>
      </c>
      <c r="D16" s="120">
        <v>113111</v>
      </c>
      <c r="E16" s="124">
        <v>116267</v>
      </c>
      <c r="F16" s="1667">
        <v>18844</v>
      </c>
      <c r="G16" s="110">
        <v>16955</v>
      </c>
    </row>
    <row r="17" spans="1:7" s="128" customFormat="1" ht="28.5" customHeight="1">
      <c r="A17" s="549" t="s">
        <v>1492</v>
      </c>
      <c r="B17" s="367" t="s">
        <v>141</v>
      </c>
      <c r="C17" s="1666">
        <v>1288649</v>
      </c>
      <c r="D17" s="120">
        <v>1428446</v>
      </c>
      <c r="E17" s="124">
        <v>1458333</v>
      </c>
      <c r="F17" s="1667">
        <v>489676</v>
      </c>
      <c r="G17" s="110">
        <v>333810</v>
      </c>
    </row>
    <row r="18" spans="1:7" s="128" customFormat="1" ht="28.5" customHeight="1">
      <c r="A18" s="549" t="s">
        <v>1493</v>
      </c>
      <c r="B18" s="367" t="s">
        <v>143</v>
      </c>
      <c r="C18" s="1666">
        <v>136</v>
      </c>
      <c r="D18" s="120">
        <v>136</v>
      </c>
      <c r="E18" s="124">
        <v>109</v>
      </c>
      <c r="F18" s="1667">
        <v>54</v>
      </c>
      <c r="G18" s="110">
        <v>37</v>
      </c>
    </row>
    <row r="19" spans="1:7" s="128" customFormat="1" ht="28.5" customHeight="1">
      <c r="A19" s="549" t="s">
        <v>1494</v>
      </c>
      <c r="B19" s="367" t="s">
        <v>144</v>
      </c>
      <c r="C19" s="1666">
        <v>93627</v>
      </c>
      <c r="D19" s="120">
        <v>100966</v>
      </c>
      <c r="E19" s="124">
        <v>99519</v>
      </c>
      <c r="F19" s="1667">
        <v>2623</v>
      </c>
      <c r="G19" s="110">
        <v>1482</v>
      </c>
    </row>
    <row r="20" spans="1:7" s="128" customFormat="1" ht="28.5" customHeight="1">
      <c r="A20" s="549" t="s">
        <v>1495</v>
      </c>
      <c r="B20" s="367" t="s">
        <v>783</v>
      </c>
      <c r="C20" s="353" t="s">
        <v>918</v>
      </c>
      <c r="D20" s="353" t="s">
        <v>918</v>
      </c>
      <c r="E20" s="120">
        <v>191581</v>
      </c>
      <c r="F20" s="1667">
        <v>80475</v>
      </c>
      <c r="G20" s="110">
        <v>61</v>
      </c>
    </row>
    <row r="21" spans="1:7" s="128" customFormat="1" ht="28.5" customHeight="1">
      <c r="A21" s="541"/>
      <c r="B21" s="545" t="s">
        <v>784</v>
      </c>
      <c r="C21" s="581">
        <f>SUM(C10,C15,C16,C17,C18,C19,C20,)</f>
        <v>4636903</v>
      </c>
      <c r="D21" s="581">
        <f>SUM(D10,D15,D16,D17,D18,D19,D20,)</f>
        <v>4876124</v>
      </c>
      <c r="E21" s="581">
        <f>SUM(E10,E15,E16,E17,E18,E19,E20,)</f>
        <v>5491896</v>
      </c>
      <c r="F21" s="581">
        <f>SUM(F10,F15,F16,F17,F18,F19,F20,)</f>
        <v>1998734</v>
      </c>
      <c r="G21" s="581">
        <f>SUM(G10,G15,G16,G17,G18,G19,G20,)</f>
        <v>1387333</v>
      </c>
    </row>
    <row r="22" spans="1:7" s="128" customFormat="1" ht="28.5" customHeight="1">
      <c r="A22" s="549" t="s">
        <v>1496</v>
      </c>
      <c r="B22" s="542" t="s">
        <v>47</v>
      </c>
      <c r="C22" s="465"/>
      <c r="D22" s="550"/>
      <c r="E22" s="465"/>
      <c r="F22" s="551"/>
      <c r="G22" s="712"/>
    </row>
    <row r="23" spans="1:7" s="128" customFormat="1" ht="28.5" customHeight="1">
      <c r="A23" s="366"/>
      <c r="B23" s="367" t="s">
        <v>145</v>
      </c>
      <c r="C23" s="1666">
        <v>3651454</v>
      </c>
      <c r="D23" s="120">
        <v>3944489</v>
      </c>
      <c r="E23" s="124">
        <v>4813100</v>
      </c>
      <c r="F23" s="1667">
        <v>2509342</v>
      </c>
      <c r="G23" s="110">
        <v>2268676</v>
      </c>
    </row>
    <row r="24" spans="1:7" s="128" customFormat="1" ht="28.5" customHeight="1">
      <c r="A24" s="366"/>
      <c r="B24" s="367" t="s">
        <v>146</v>
      </c>
      <c r="C24" s="1666">
        <v>873694</v>
      </c>
      <c r="D24" s="120">
        <v>985797</v>
      </c>
      <c r="E24" s="124">
        <v>1094535</v>
      </c>
      <c r="F24" s="1667">
        <v>317483</v>
      </c>
      <c r="G24" s="110">
        <v>190677</v>
      </c>
    </row>
    <row r="25" spans="1:7" s="128" customFormat="1" ht="28.5" customHeight="1">
      <c r="A25" s="366"/>
      <c r="B25" s="367" t="s">
        <v>1128</v>
      </c>
      <c r="C25" s="1666">
        <v>5428</v>
      </c>
      <c r="D25" s="120">
        <v>2795</v>
      </c>
      <c r="E25" s="124">
        <v>157246</v>
      </c>
      <c r="F25" s="1667">
        <v>3496</v>
      </c>
      <c r="G25" s="110">
        <v>829</v>
      </c>
    </row>
    <row r="26" spans="1:7" s="128" customFormat="1" ht="28.5" customHeight="1">
      <c r="A26" s="552"/>
      <c r="B26" s="553" t="s">
        <v>785</v>
      </c>
      <c r="C26" s="195">
        <f>SUM(C23:C25)</f>
        <v>4530576</v>
      </c>
      <c r="D26" s="196">
        <f>SUM(D23:D25)</f>
        <v>4933081</v>
      </c>
      <c r="E26" s="195">
        <f>SUM(E23:E25)</f>
        <v>6064881</v>
      </c>
      <c r="F26" s="197">
        <f>SUM(F23:F25)</f>
        <v>2830321</v>
      </c>
      <c r="G26" s="197">
        <f>SUM(G23:G25)</f>
        <v>2460182</v>
      </c>
    </row>
    <row r="27" spans="1:7">
      <c r="A27" s="1042" t="s">
        <v>454</v>
      </c>
      <c r="B27" s="790"/>
      <c r="F27" s="263"/>
      <c r="G27" s="1063" t="s">
        <v>301</v>
      </c>
    </row>
    <row r="28" spans="1:7">
      <c r="A28" s="41"/>
      <c r="B28" s="6"/>
      <c r="E28" s="263"/>
      <c r="F28" s="263"/>
      <c r="G28" s="263"/>
    </row>
    <row r="29" spans="1:7">
      <c r="A29" s="41"/>
      <c r="B29" s="6"/>
    </row>
    <row r="30" spans="1:7">
      <c r="A30" s="41"/>
      <c r="B30" s="6"/>
    </row>
    <row r="32" spans="1:7">
      <c r="A32" s="6"/>
      <c r="B32" s="6"/>
    </row>
    <row r="34" spans="1:7">
      <c r="A34" s="41"/>
      <c r="B34" s="6"/>
    </row>
    <row r="35" spans="1:7">
      <c r="A35" s="41"/>
      <c r="B35" s="6"/>
    </row>
    <row r="36" spans="1:7">
      <c r="A36" s="41"/>
      <c r="B36" s="6"/>
    </row>
    <row r="37" spans="1:7">
      <c r="A37" s="41"/>
      <c r="B37" s="6"/>
    </row>
    <row r="38" spans="1:7">
      <c r="A38" s="42"/>
      <c r="B38" s="43"/>
      <c r="C38" s="7"/>
      <c r="D38" s="7"/>
      <c r="E38" s="7"/>
      <c r="F38" s="7"/>
      <c r="G38" s="7"/>
    </row>
    <row r="39" spans="1:7">
      <c r="A39" s="42"/>
      <c r="B39" s="43"/>
      <c r="C39" s="7"/>
      <c r="D39" s="7"/>
      <c r="E39" s="7"/>
      <c r="F39" s="7"/>
      <c r="G39" s="7"/>
    </row>
    <row r="40" spans="1:7">
      <c r="A40" s="7"/>
      <c r="B40" s="7"/>
      <c r="C40" s="7"/>
      <c r="D40" s="15"/>
      <c r="E40" s="7"/>
      <c r="F40" s="7"/>
      <c r="G40" s="7"/>
    </row>
    <row r="41" spans="1:7">
      <c r="A41" s="7"/>
      <c r="B41" s="7"/>
      <c r="C41" s="7"/>
      <c r="D41" s="7"/>
      <c r="E41" s="7"/>
      <c r="F41" s="7"/>
      <c r="G41" s="7"/>
    </row>
  </sheetData>
  <mergeCells count="4">
    <mergeCell ref="A1:G1"/>
    <mergeCell ref="A4:B4"/>
    <mergeCell ref="A5:B5"/>
    <mergeCell ref="A2:G2"/>
  </mergeCells>
  <phoneticPr fontId="0" type="noConversion"/>
  <printOptions horizontalCentered="1"/>
  <pageMargins left="0.1" right="0.1" top="1.03" bottom="0.1" header="1.03" footer="0.5"/>
  <pageSetup paperSize="9" orientation="portrait" blackAndWhite="1" r:id="rId1"/>
  <headerFooter alignWithMargins="0"/>
</worksheet>
</file>

<file path=xl/worksheets/sheet53.xml><?xml version="1.0" encoding="utf-8"?>
<worksheet xmlns="http://schemas.openxmlformats.org/spreadsheetml/2006/main" xmlns:r="http://schemas.openxmlformats.org/officeDocument/2006/relationships">
  <sheetPr codeName="Sheet38"/>
  <dimension ref="A1:M53"/>
  <sheetViews>
    <sheetView topLeftCell="A7" workbookViewId="0">
      <selection activeCell="E12" sqref="E12"/>
    </sheetView>
  </sheetViews>
  <sheetFormatPr defaultRowHeight="12.4" customHeight="1"/>
  <cols>
    <col min="1" max="1" width="15.7109375" customWidth="1"/>
    <col min="2" max="2" width="8.5703125" customWidth="1"/>
    <col min="3" max="3" width="7.28515625" customWidth="1"/>
    <col min="4" max="4" width="7.85546875" customWidth="1"/>
    <col min="5" max="5" width="8.28515625" customWidth="1"/>
    <col min="6" max="6" width="7" customWidth="1"/>
    <col min="7" max="7" width="14" customWidth="1"/>
    <col min="8" max="8" width="10.42578125" customWidth="1"/>
    <col min="9" max="9" width="8.7109375" customWidth="1"/>
  </cols>
  <sheetData>
    <row r="1" spans="1:13" ht="15.75" customHeight="1">
      <c r="A1" s="1825" t="s">
        <v>864</v>
      </c>
      <c r="B1" s="1825"/>
      <c r="C1" s="1825"/>
      <c r="D1" s="1825"/>
      <c r="E1" s="1825"/>
      <c r="F1" s="1825"/>
      <c r="G1" s="1825"/>
      <c r="H1" s="1825"/>
      <c r="I1" s="1825"/>
    </row>
    <row r="2" spans="1:13" ht="35.25" customHeight="1">
      <c r="A2" s="1857" t="str">
        <f>CONCATENATE("Veterinary Hospitals, Veterinary Personnel and Cases treated 
in the district of ",District!A1)</f>
        <v>Veterinary Hospitals, Veterinary Personnel and Cases treated 
in the district of Purba Medinipur</v>
      </c>
      <c r="B2" s="1857"/>
      <c r="C2" s="1857"/>
      <c r="D2" s="1857"/>
      <c r="E2" s="1857"/>
      <c r="F2" s="1857"/>
      <c r="G2" s="1857"/>
      <c r="H2" s="1857"/>
      <c r="I2" s="1857"/>
    </row>
    <row r="3" spans="1:13" ht="12" customHeight="1">
      <c r="A3" s="7"/>
      <c r="B3" s="7"/>
      <c r="C3" s="7"/>
      <c r="D3" s="7"/>
      <c r="E3" s="7"/>
      <c r="F3" s="7"/>
      <c r="G3" s="7"/>
      <c r="H3" s="7"/>
      <c r="I3" s="204" t="s">
        <v>1001</v>
      </c>
    </row>
    <row r="4" spans="1:13" ht="47.25" customHeight="1">
      <c r="A4" s="133" t="s">
        <v>899</v>
      </c>
      <c r="B4" s="933" t="s">
        <v>203</v>
      </c>
      <c r="C4" s="133" t="s">
        <v>147</v>
      </c>
      <c r="D4" s="162" t="s">
        <v>148</v>
      </c>
      <c r="E4" s="133" t="s">
        <v>149</v>
      </c>
      <c r="F4" s="162" t="s">
        <v>150</v>
      </c>
      <c r="G4" s="362" t="s">
        <v>1320</v>
      </c>
      <c r="H4" s="362" t="s">
        <v>1660</v>
      </c>
      <c r="I4" s="1630" t="s">
        <v>1674</v>
      </c>
    </row>
    <row r="5" spans="1:13" ht="14.25" customHeight="1">
      <c r="A5" s="134" t="s">
        <v>955</v>
      </c>
      <c r="B5" s="137" t="s">
        <v>956</v>
      </c>
      <c r="C5" s="134" t="s">
        <v>957</v>
      </c>
      <c r="D5" s="135" t="s">
        <v>958</v>
      </c>
      <c r="E5" s="134" t="s">
        <v>959</v>
      </c>
      <c r="F5" s="135" t="s">
        <v>961</v>
      </c>
      <c r="G5" s="134" t="s">
        <v>962</v>
      </c>
      <c r="H5" s="134" t="s">
        <v>990</v>
      </c>
      <c r="I5" s="192" t="s">
        <v>991</v>
      </c>
    </row>
    <row r="6" spans="1:13" ht="15" customHeight="1">
      <c r="A6" s="277" t="s">
        <v>1356</v>
      </c>
      <c r="B6" s="1495">
        <v>5</v>
      </c>
      <c r="C6" s="1495">
        <v>25</v>
      </c>
      <c r="D6" s="1495">
        <v>11</v>
      </c>
      <c r="E6" s="1495">
        <v>91</v>
      </c>
      <c r="F6" s="1495" t="s">
        <v>1384</v>
      </c>
      <c r="G6" s="1495">
        <v>308</v>
      </c>
      <c r="H6" s="1495">
        <v>247</v>
      </c>
      <c r="I6" s="1495">
        <v>616503</v>
      </c>
    </row>
    <row r="7" spans="1:13" ht="15" customHeight="1">
      <c r="A7" s="284" t="s">
        <v>306</v>
      </c>
      <c r="B7" s="284">
        <v>5</v>
      </c>
      <c r="C7" s="284">
        <v>25</v>
      </c>
      <c r="D7" s="284">
        <v>11</v>
      </c>
      <c r="E7" s="284">
        <v>91</v>
      </c>
      <c r="F7" s="1222" t="s">
        <v>1384</v>
      </c>
      <c r="G7" s="284">
        <v>308</v>
      </c>
      <c r="H7" s="284">
        <v>247</v>
      </c>
      <c r="I7" s="284">
        <v>645745</v>
      </c>
    </row>
    <row r="8" spans="1:13" ht="15" customHeight="1">
      <c r="A8" s="304" t="s">
        <v>1357</v>
      </c>
      <c r="B8" s="284">
        <v>5</v>
      </c>
      <c r="C8" s="284">
        <v>25</v>
      </c>
      <c r="D8" s="284">
        <v>11</v>
      </c>
      <c r="E8" s="284">
        <v>83</v>
      </c>
      <c r="F8" s="1222" t="s">
        <v>1384</v>
      </c>
      <c r="G8" s="284">
        <v>319</v>
      </c>
      <c r="H8" s="284">
        <v>247</v>
      </c>
      <c r="I8" s="284">
        <v>871719</v>
      </c>
    </row>
    <row r="9" spans="1:13" ht="15" customHeight="1">
      <c r="A9" s="304" t="s">
        <v>628</v>
      </c>
      <c r="B9" s="284">
        <v>5</v>
      </c>
      <c r="C9" s="284">
        <v>25</v>
      </c>
      <c r="D9" s="284">
        <v>11</v>
      </c>
      <c r="E9" s="284">
        <v>80</v>
      </c>
      <c r="F9" s="1222" t="s">
        <v>1384</v>
      </c>
      <c r="G9" s="284">
        <v>315</v>
      </c>
      <c r="H9" s="284">
        <v>243</v>
      </c>
      <c r="I9" s="284">
        <v>877815</v>
      </c>
    </row>
    <row r="10" spans="1:13" ht="15" customHeight="1">
      <c r="A10" s="823" t="s">
        <v>1639</v>
      </c>
      <c r="B10" s="732">
        <f>IF(SUM(B12,B22,B29,B36)=0,"-",SUM(B12,B22,B29,B36))</f>
        <v>5</v>
      </c>
      <c r="C10" s="732">
        <f t="shared" ref="C10:I10" si="0">IF(SUM(C12,C22,C29,C36)=0,"-",SUM(C12,C22,C29,C36))</f>
        <v>25</v>
      </c>
      <c r="D10" s="732">
        <f t="shared" si="0"/>
        <v>11</v>
      </c>
      <c r="E10" s="732">
        <f t="shared" si="0"/>
        <v>80</v>
      </c>
      <c r="F10" s="732" t="str">
        <f t="shared" si="0"/>
        <v>-</v>
      </c>
      <c r="G10" s="732">
        <f t="shared" si="0"/>
        <v>314</v>
      </c>
      <c r="H10" s="732">
        <f t="shared" si="0"/>
        <v>237</v>
      </c>
      <c r="I10" s="732">
        <f t="shared" si="0"/>
        <v>1100555</v>
      </c>
    </row>
    <row r="11" spans="1:13" ht="25.5" customHeight="1">
      <c r="A11" s="744" t="s">
        <v>162</v>
      </c>
      <c r="B11" s="2154" t="str">
        <f>"Year : " &amp; A10</f>
        <v>Year : 2013-14</v>
      </c>
      <c r="C11" s="2154"/>
      <c r="D11" s="2154"/>
      <c r="E11" s="2154"/>
      <c r="F11" s="2154"/>
      <c r="G11" s="2154"/>
      <c r="H11" s="2154"/>
      <c r="I11" s="2171"/>
    </row>
    <row r="12" spans="1:13" ht="15" customHeight="1">
      <c r="A12" s="1223" t="s">
        <v>1267</v>
      </c>
      <c r="B12" s="316">
        <f t="shared" ref="B12:I12" si="1">IF(SUM(B13:B21)=0,"-",SUM(B13:B21))</f>
        <v>1</v>
      </c>
      <c r="C12" s="388">
        <f t="shared" si="1"/>
        <v>7</v>
      </c>
      <c r="D12" s="355">
        <f t="shared" si="1"/>
        <v>5</v>
      </c>
      <c r="E12" s="388">
        <f t="shared" si="1"/>
        <v>28</v>
      </c>
      <c r="F12" s="355" t="str">
        <f t="shared" si="1"/>
        <v>-</v>
      </c>
      <c r="G12" s="388">
        <f t="shared" si="1"/>
        <v>120</v>
      </c>
      <c r="H12" s="388">
        <f t="shared" si="1"/>
        <v>83</v>
      </c>
      <c r="I12" s="253">
        <f t="shared" si="1"/>
        <v>395285</v>
      </c>
      <c r="L12" s="1743"/>
      <c r="M12" s="8"/>
    </row>
    <row r="13" spans="1:13" ht="15" customHeight="1">
      <c r="A13" s="285" t="s">
        <v>200</v>
      </c>
      <c r="B13" s="123" t="s">
        <v>1384</v>
      </c>
      <c r="C13" s="110">
        <v>1</v>
      </c>
      <c r="D13" s="46">
        <v>1</v>
      </c>
      <c r="E13" s="110">
        <v>3</v>
      </c>
      <c r="F13" s="36" t="s">
        <v>1384</v>
      </c>
      <c r="G13" s="110">
        <v>17</v>
      </c>
      <c r="H13" s="110">
        <v>14</v>
      </c>
      <c r="I13" s="102">
        <v>64705</v>
      </c>
      <c r="L13" s="1749"/>
      <c r="M13" s="8"/>
    </row>
    <row r="14" spans="1:13" ht="15" customHeight="1">
      <c r="A14" s="285" t="s">
        <v>1386</v>
      </c>
      <c r="B14" s="123" t="s">
        <v>1384</v>
      </c>
      <c r="C14" s="110">
        <v>1</v>
      </c>
      <c r="D14" s="46" t="s">
        <v>1384</v>
      </c>
      <c r="E14" s="110">
        <v>3</v>
      </c>
      <c r="F14" s="36" t="s">
        <v>1384</v>
      </c>
      <c r="G14" s="110">
        <v>15</v>
      </c>
      <c r="H14" s="110">
        <v>9</v>
      </c>
      <c r="I14" s="102">
        <v>30599</v>
      </c>
      <c r="L14" s="1749"/>
      <c r="M14" s="8"/>
    </row>
    <row r="15" spans="1:13" ht="15" customHeight="1">
      <c r="A15" s="285" t="s">
        <v>1388</v>
      </c>
      <c r="B15" s="123" t="s">
        <v>1384</v>
      </c>
      <c r="C15" s="110" t="s">
        <v>1384</v>
      </c>
      <c r="D15" s="46">
        <v>1</v>
      </c>
      <c r="E15" s="110">
        <v>6</v>
      </c>
      <c r="F15" s="36" t="s">
        <v>1384</v>
      </c>
      <c r="G15" s="110">
        <v>22</v>
      </c>
      <c r="H15" s="110">
        <v>7</v>
      </c>
      <c r="I15" s="102">
        <v>51588</v>
      </c>
      <c r="L15" s="1749"/>
      <c r="M15" s="8"/>
    </row>
    <row r="16" spans="1:13" ht="15" customHeight="1">
      <c r="A16" s="165" t="s">
        <v>1568</v>
      </c>
      <c r="B16" s="123" t="s">
        <v>1384</v>
      </c>
      <c r="C16" s="110">
        <v>1</v>
      </c>
      <c r="D16" s="46">
        <v>1</v>
      </c>
      <c r="E16" s="110">
        <v>6</v>
      </c>
      <c r="F16" s="36" t="s">
        <v>1384</v>
      </c>
      <c r="G16" s="110">
        <v>20</v>
      </c>
      <c r="H16" s="110">
        <v>13</v>
      </c>
      <c r="I16" s="102">
        <v>66666</v>
      </c>
      <c r="L16" s="1749"/>
      <c r="M16" s="8"/>
    </row>
    <row r="17" spans="1:13" ht="15" customHeight="1">
      <c r="A17" s="285" t="s">
        <v>1390</v>
      </c>
      <c r="B17" s="123" t="s">
        <v>1384</v>
      </c>
      <c r="C17" s="110">
        <v>1</v>
      </c>
      <c r="D17" s="46">
        <v>1</v>
      </c>
      <c r="E17" s="110">
        <v>4</v>
      </c>
      <c r="F17" s="36" t="s">
        <v>1384</v>
      </c>
      <c r="G17" s="110">
        <v>15</v>
      </c>
      <c r="H17" s="110">
        <v>12</v>
      </c>
      <c r="I17" s="102">
        <v>53852</v>
      </c>
      <c r="L17" s="1749"/>
      <c r="M17" s="8"/>
    </row>
    <row r="18" spans="1:13" ht="15" customHeight="1">
      <c r="A18" s="285" t="s">
        <v>1391</v>
      </c>
      <c r="B18" s="123" t="s">
        <v>1384</v>
      </c>
      <c r="C18" s="110">
        <v>1</v>
      </c>
      <c r="D18" s="46">
        <v>1</v>
      </c>
      <c r="E18" s="110">
        <v>4</v>
      </c>
      <c r="F18" s="36" t="s">
        <v>1384</v>
      </c>
      <c r="G18" s="110">
        <v>17</v>
      </c>
      <c r="H18" s="110">
        <v>10</v>
      </c>
      <c r="I18" s="102">
        <v>68401</v>
      </c>
      <c r="L18" s="1749"/>
      <c r="M18" s="8"/>
    </row>
    <row r="19" spans="1:13" ht="15" customHeight="1">
      <c r="A19" s="716" t="s">
        <v>1569</v>
      </c>
      <c r="B19" s="123" t="s">
        <v>1384</v>
      </c>
      <c r="C19" s="110">
        <v>1</v>
      </c>
      <c r="D19" s="46" t="s">
        <v>1384</v>
      </c>
      <c r="E19" s="110">
        <v>2</v>
      </c>
      <c r="F19" s="36" t="s">
        <v>1384</v>
      </c>
      <c r="G19" s="110">
        <v>12</v>
      </c>
      <c r="H19" s="110">
        <v>5</v>
      </c>
      <c r="I19" s="102">
        <v>20297</v>
      </c>
      <c r="L19" s="1749"/>
      <c r="M19" s="8"/>
    </row>
    <row r="20" spans="1:13" ht="15" customHeight="1">
      <c r="A20" s="285" t="s">
        <v>1383</v>
      </c>
      <c r="B20" s="407">
        <v>1</v>
      </c>
      <c r="C20" s="110" t="s">
        <v>1384</v>
      </c>
      <c r="D20" s="46" t="s">
        <v>1384</v>
      </c>
      <c r="E20" s="110" t="s">
        <v>1384</v>
      </c>
      <c r="F20" s="36" t="s">
        <v>1384</v>
      </c>
      <c r="G20" s="110">
        <v>1</v>
      </c>
      <c r="H20" s="110">
        <v>5</v>
      </c>
      <c r="I20" s="102">
        <v>10205</v>
      </c>
      <c r="L20" s="1749"/>
      <c r="M20" s="8"/>
    </row>
    <row r="21" spans="1:13" ht="15" customHeight="1">
      <c r="A21" s="285" t="s">
        <v>1389</v>
      </c>
      <c r="B21" s="123" t="s">
        <v>1384</v>
      </c>
      <c r="C21" s="391">
        <v>1</v>
      </c>
      <c r="D21" s="46" t="s">
        <v>1384</v>
      </c>
      <c r="E21" s="110" t="s">
        <v>1384</v>
      </c>
      <c r="F21" s="36" t="s">
        <v>1384</v>
      </c>
      <c r="G21" s="110">
        <v>1</v>
      </c>
      <c r="H21" s="391">
        <v>8</v>
      </c>
      <c r="I21" s="1159">
        <v>28972</v>
      </c>
      <c r="L21" s="1219"/>
      <c r="M21" s="8"/>
    </row>
    <row r="22" spans="1:13" ht="15" customHeight="1">
      <c r="A22" s="710" t="s">
        <v>1268</v>
      </c>
      <c r="B22" s="316" t="str">
        <f>IF(SUM(B23:B28)=0,"-",SUM(B23:B28))</f>
        <v>-</v>
      </c>
      <c r="C22" s="388">
        <f t="shared" ref="C22:I22" si="2">IF(SUM(C23:C28)=0,"-",SUM(C23:C28))</f>
        <v>5</v>
      </c>
      <c r="D22" s="388">
        <f t="shared" si="2"/>
        <v>1</v>
      </c>
      <c r="E22" s="388">
        <f t="shared" si="2"/>
        <v>13</v>
      </c>
      <c r="F22" s="355" t="str">
        <f t="shared" si="2"/>
        <v>-</v>
      </c>
      <c r="G22" s="388">
        <f t="shared" si="2"/>
        <v>52</v>
      </c>
      <c r="H22" s="388">
        <f t="shared" si="2"/>
        <v>36</v>
      </c>
      <c r="I22" s="253">
        <f t="shared" si="2"/>
        <v>134099</v>
      </c>
      <c r="L22" s="1743"/>
      <c r="M22" s="8"/>
    </row>
    <row r="23" spans="1:13" ht="15" customHeight="1">
      <c r="A23" s="285" t="s">
        <v>1393</v>
      </c>
      <c r="B23" s="123" t="s">
        <v>1384</v>
      </c>
      <c r="C23" s="110">
        <v>1</v>
      </c>
      <c r="D23" s="46" t="s">
        <v>1384</v>
      </c>
      <c r="E23" s="110">
        <v>3</v>
      </c>
      <c r="F23" s="36" t="s">
        <v>1384</v>
      </c>
      <c r="G23" s="110">
        <v>15</v>
      </c>
      <c r="H23" s="110">
        <v>8</v>
      </c>
      <c r="I23" s="102">
        <v>34141</v>
      </c>
      <c r="L23" s="1749"/>
      <c r="M23" s="8"/>
    </row>
    <row r="24" spans="1:13" ht="15" customHeight="1">
      <c r="A24" s="285" t="s">
        <v>1395</v>
      </c>
      <c r="B24" s="123" t="s">
        <v>1384</v>
      </c>
      <c r="C24" s="110">
        <v>1</v>
      </c>
      <c r="D24" s="46">
        <v>1</v>
      </c>
      <c r="E24" s="110">
        <v>3</v>
      </c>
      <c r="F24" s="36" t="s">
        <v>1384</v>
      </c>
      <c r="G24" s="110">
        <v>14</v>
      </c>
      <c r="H24" s="110">
        <v>8</v>
      </c>
      <c r="I24" s="102">
        <v>32376</v>
      </c>
      <c r="L24" s="1749"/>
      <c r="M24" s="8"/>
    </row>
    <row r="25" spans="1:13" ht="15" customHeight="1">
      <c r="A25" s="285" t="s">
        <v>1396</v>
      </c>
      <c r="B25" s="123" t="s">
        <v>1384</v>
      </c>
      <c r="C25" s="110">
        <v>1</v>
      </c>
      <c r="D25" s="46" t="s">
        <v>1384</v>
      </c>
      <c r="E25" s="110">
        <v>4</v>
      </c>
      <c r="F25" s="36" t="s">
        <v>1384</v>
      </c>
      <c r="G25" s="110">
        <v>9</v>
      </c>
      <c r="H25" s="110">
        <v>7</v>
      </c>
      <c r="I25" s="102">
        <v>24963</v>
      </c>
      <c r="L25" s="1749"/>
      <c r="M25" s="8"/>
    </row>
    <row r="26" spans="1:13" ht="15" customHeight="1">
      <c r="A26" s="285" t="s">
        <v>1397</v>
      </c>
      <c r="B26" s="123" t="s">
        <v>1384</v>
      </c>
      <c r="C26" s="110">
        <v>1</v>
      </c>
      <c r="D26" s="46" t="s">
        <v>1384</v>
      </c>
      <c r="E26" s="110">
        <v>1</v>
      </c>
      <c r="F26" s="36" t="s">
        <v>1384</v>
      </c>
      <c r="G26" s="110">
        <v>7</v>
      </c>
      <c r="H26" s="110">
        <v>6</v>
      </c>
      <c r="I26" s="102">
        <v>12329</v>
      </c>
      <c r="L26" s="1749"/>
      <c r="M26" s="8"/>
    </row>
    <row r="27" spans="1:13" ht="15" customHeight="1">
      <c r="A27" s="285" t="s">
        <v>1399</v>
      </c>
      <c r="B27" s="123" t="s">
        <v>1384</v>
      </c>
      <c r="C27" s="110">
        <v>1</v>
      </c>
      <c r="D27" s="46" t="s">
        <v>1384</v>
      </c>
      <c r="E27" s="110">
        <v>2</v>
      </c>
      <c r="F27" s="36" t="s">
        <v>1384</v>
      </c>
      <c r="G27" s="110">
        <v>5</v>
      </c>
      <c r="H27" s="110">
        <v>4</v>
      </c>
      <c r="I27" s="102">
        <v>8401</v>
      </c>
      <c r="L27" s="1749"/>
      <c r="M27" s="8"/>
    </row>
    <row r="28" spans="1:13" ht="15" customHeight="1">
      <c r="A28" s="285" t="s">
        <v>1132</v>
      </c>
      <c r="B28" s="123" t="s">
        <v>1384</v>
      </c>
      <c r="C28" s="110" t="s">
        <v>1384</v>
      </c>
      <c r="D28" s="46" t="s">
        <v>1384</v>
      </c>
      <c r="E28" s="110" t="s">
        <v>1384</v>
      </c>
      <c r="F28" s="36" t="s">
        <v>1384</v>
      </c>
      <c r="G28" s="110">
        <v>2</v>
      </c>
      <c r="H28" s="391">
        <v>3</v>
      </c>
      <c r="I28" s="408">
        <v>21889</v>
      </c>
      <c r="L28" s="1747"/>
      <c r="M28" s="8"/>
    </row>
    <row r="29" spans="1:13" ht="15" customHeight="1">
      <c r="A29" s="710" t="s">
        <v>1266</v>
      </c>
      <c r="B29" s="316">
        <f>IF(SUM(B30:B35)=0,"-",SUM(B30:B35))</f>
        <v>1</v>
      </c>
      <c r="C29" s="388">
        <f t="shared" ref="C29:I29" si="3">IF(SUM(C30:C35)=0,"-",SUM(C30:C35))</f>
        <v>5</v>
      </c>
      <c r="D29" s="355">
        <f t="shared" si="3"/>
        <v>3</v>
      </c>
      <c r="E29" s="388">
        <f t="shared" si="3"/>
        <v>8</v>
      </c>
      <c r="F29" s="355" t="str">
        <f t="shared" si="3"/>
        <v>-</v>
      </c>
      <c r="G29" s="388">
        <f t="shared" si="3"/>
        <v>53</v>
      </c>
      <c r="H29" s="388">
        <f t="shared" si="3"/>
        <v>37</v>
      </c>
      <c r="I29" s="253">
        <f t="shared" si="3"/>
        <v>173148</v>
      </c>
      <c r="L29" s="1743"/>
      <c r="M29" s="8"/>
    </row>
    <row r="30" spans="1:13" ht="15" customHeight="1">
      <c r="A30" s="285" t="s">
        <v>1269</v>
      </c>
      <c r="B30" s="123" t="s">
        <v>1384</v>
      </c>
      <c r="C30" s="110">
        <v>1</v>
      </c>
      <c r="D30" s="46" t="s">
        <v>1384</v>
      </c>
      <c r="E30" s="391">
        <v>1</v>
      </c>
      <c r="F30" s="36" t="s">
        <v>1384</v>
      </c>
      <c r="G30" s="110">
        <v>10</v>
      </c>
      <c r="H30" s="110">
        <v>5</v>
      </c>
      <c r="I30" s="102">
        <v>18282</v>
      </c>
      <c r="L30" s="1749"/>
      <c r="M30" s="8"/>
    </row>
    <row r="31" spans="1:13" ht="15" customHeight="1">
      <c r="A31" s="285" t="s">
        <v>1270</v>
      </c>
      <c r="B31" s="123" t="s">
        <v>1384</v>
      </c>
      <c r="C31" s="110">
        <v>1</v>
      </c>
      <c r="D31" s="46">
        <v>1</v>
      </c>
      <c r="E31" s="110">
        <v>1</v>
      </c>
      <c r="F31" s="36" t="s">
        <v>1384</v>
      </c>
      <c r="G31" s="110">
        <v>9</v>
      </c>
      <c r="H31" s="110">
        <v>6</v>
      </c>
      <c r="I31" s="102">
        <v>43990</v>
      </c>
      <c r="L31" s="1749"/>
      <c r="M31" s="8"/>
    </row>
    <row r="32" spans="1:13" ht="15" customHeight="1">
      <c r="A32" s="285" t="s">
        <v>1412</v>
      </c>
      <c r="B32" s="123" t="s">
        <v>1384</v>
      </c>
      <c r="C32" s="110">
        <v>1</v>
      </c>
      <c r="D32" s="46">
        <v>1</v>
      </c>
      <c r="E32" s="110">
        <v>2</v>
      </c>
      <c r="F32" s="36" t="s">
        <v>1384</v>
      </c>
      <c r="G32" s="110">
        <v>13</v>
      </c>
      <c r="H32" s="110">
        <v>9</v>
      </c>
      <c r="I32" s="102">
        <v>40492</v>
      </c>
      <c r="L32" s="1749"/>
      <c r="M32" s="8"/>
    </row>
    <row r="33" spans="1:13" ht="15" customHeight="1">
      <c r="A33" s="285" t="s">
        <v>1413</v>
      </c>
      <c r="B33" s="123" t="s">
        <v>1384</v>
      </c>
      <c r="C33" s="110">
        <v>1</v>
      </c>
      <c r="D33" s="46">
        <v>1</v>
      </c>
      <c r="E33" s="110">
        <v>2</v>
      </c>
      <c r="F33" s="36" t="s">
        <v>1384</v>
      </c>
      <c r="G33" s="110">
        <v>10</v>
      </c>
      <c r="H33" s="110">
        <v>9</v>
      </c>
      <c r="I33" s="102">
        <v>39912</v>
      </c>
      <c r="L33" s="1749"/>
      <c r="M33" s="8"/>
    </row>
    <row r="34" spans="1:13" ht="15" customHeight="1">
      <c r="A34" s="285" t="s">
        <v>1414</v>
      </c>
      <c r="B34" s="123" t="s">
        <v>1384</v>
      </c>
      <c r="C34" s="110">
        <v>1</v>
      </c>
      <c r="D34" s="46" t="s">
        <v>1384</v>
      </c>
      <c r="E34" s="110">
        <v>2</v>
      </c>
      <c r="F34" s="36" t="s">
        <v>1384</v>
      </c>
      <c r="G34" s="110">
        <v>9</v>
      </c>
      <c r="H34" s="110">
        <v>5</v>
      </c>
      <c r="I34" s="102">
        <v>22270</v>
      </c>
      <c r="L34" s="1749"/>
      <c r="M34" s="8"/>
    </row>
    <row r="35" spans="1:13" ht="15" customHeight="1">
      <c r="A35" s="285" t="s">
        <v>1415</v>
      </c>
      <c r="B35" s="117">
        <v>1</v>
      </c>
      <c r="C35" s="110" t="s">
        <v>1384</v>
      </c>
      <c r="D35" s="46" t="s">
        <v>1384</v>
      </c>
      <c r="E35" s="110" t="s">
        <v>1384</v>
      </c>
      <c r="F35" s="36" t="s">
        <v>1384</v>
      </c>
      <c r="G35" s="110">
        <v>2</v>
      </c>
      <c r="H35" s="110">
        <v>3</v>
      </c>
      <c r="I35" s="102">
        <v>8202</v>
      </c>
      <c r="L35" s="1749"/>
      <c r="M35" s="8"/>
    </row>
    <row r="36" spans="1:13" ht="15" customHeight="1">
      <c r="A36" s="914" t="s">
        <v>1271</v>
      </c>
      <c r="B36" s="316">
        <f>IF(SUM(B37:B45)=0,"-",SUM(B37:B45))</f>
        <v>3</v>
      </c>
      <c r="C36" s="388">
        <f t="shared" ref="C36:I36" si="4">IF(SUM(C37:C45)=0,"-",SUM(C37:C45))</f>
        <v>8</v>
      </c>
      <c r="D36" s="355">
        <f t="shared" si="4"/>
        <v>2</v>
      </c>
      <c r="E36" s="388">
        <f t="shared" si="4"/>
        <v>31</v>
      </c>
      <c r="F36" s="355" t="str">
        <f t="shared" si="4"/>
        <v>-</v>
      </c>
      <c r="G36" s="388">
        <f t="shared" si="4"/>
        <v>89</v>
      </c>
      <c r="H36" s="388">
        <f t="shared" si="4"/>
        <v>81</v>
      </c>
      <c r="I36" s="253">
        <f t="shared" si="4"/>
        <v>398023</v>
      </c>
      <c r="L36" s="1743"/>
      <c r="M36" s="8"/>
    </row>
    <row r="37" spans="1:13" ht="15" customHeight="1">
      <c r="A37" s="285" t="s">
        <v>1419</v>
      </c>
      <c r="B37" s="117">
        <v>1</v>
      </c>
      <c r="C37" s="110">
        <v>1</v>
      </c>
      <c r="D37" s="46">
        <v>1</v>
      </c>
      <c r="E37" s="110">
        <v>1</v>
      </c>
      <c r="F37" s="36" t="s">
        <v>1384</v>
      </c>
      <c r="G37" s="110">
        <v>8</v>
      </c>
      <c r="H37" s="110">
        <v>10</v>
      </c>
      <c r="I37" s="102">
        <v>64731</v>
      </c>
      <c r="L37" s="1749"/>
      <c r="M37" s="8"/>
    </row>
    <row r="38" spans="1:13" ht="15" customHeight="1">
      <c r="A38" s="285" t="s">
        <v>1420</v>
      </c>
      <c r="B38" s="123" t="s">
        <v>1384</v>
      </c>
      <c r="C38" s="110">
        <v>1</v>
      </c>
      <c r="D38" s="108" t="s">
        <v>1384</v>
      </c>
      <c r="E38" s="110">
        <v>4</v>
      </c>
      <c r="F38" s="36" t="s">
        <v>1384</v>
      </c>
      <c r="G38" s="110">
        <v>7</v>
      </c>
      <c r="H38" s="110">
        <v>6</v>
      </c>
      <c r="I38" s="102">
        <v>36989</v>
      </c>
      <c r="L38" s="1749"/>
      <c r="M38" s="8"/>
    </row>
    <row r="39" spans="1:13" ht="15" customHeight="1">
      <c r="A39" s="285" t="s">
        <v>1422</v>
      </c>
      <c r="B39" s="123" t="s">
        <v>1384</v>
      </c>
      <c r="C39" s="110">
        <v>1</v>
      </c>
      <c r="D39" s="108" t="s">
        <v>1384</v>
      </c>
      <c r="E39" s="110">
        <v>3</v>
      </c>
      <c r="F39" s="36" t="s">
        <v>1384</v>
      </c>
      <c r="G39" s="110">
        <v>10</v>
      </c>
      <c r="H39" s="110">
        <v>4</v>
      </c>
      <c r="I39" s="102">
        <v>13528</v>
      </c>
      <c r="L39" s="1749"/>
      <c r="M39" s="8"/>
    </row>
    <row r="40" spans="1:13" ht="15" customHeight="1">
      <c r="A40" s="285" t="s">
        <v>1423</v>
      </c>
      <c r="B40" s="117">
        <v>1</v>
      </c>
      <c r="C40" s="110">
        <v>1</v>
      </c>
      <c r="D40" s="108">
        <v>1</v>
      </c>
      <c r="E40" s="110">
        <v>4</v>
      </c>
      <c r="F40" s="36" t="s">
        <v>1384</v>
      </c>
      <c r="G40" s="110">
        <v>16</v>
      </c>
      <c r="H40" s="110">
        <v>14</v>
      </c>
      <c r="I40" s="102">
        <v>68337</v>
      </c>
      <c r="L40" s="1749"/>
      <c r="M40" s="8"/>
    </row>
    <row r="41" spans="1:13" ht="15" customHeight="1">
      <c r="A41" s="285" t="s">
        <v>1425</v>
      </c>
      <c r="B41" s="123" t="s">
        <v>1384</v>
      </c>
      <c r="C41" s="110">
        <v>1</v>
      </c>
      <c r="D41" s="108" t="s">
        <v>1384</v>
      </c>
      <c r="E41" s="110">
        <v>6</v>
      </c>
      <c r="F41" s="36" t="s">
        <v>1384</v>
      </c>
      <c r="G41" s="110">
        <v>12</v>
      </c>
      <c r="H41" s="110">
        <v>9</v>
      </c>
      <c r="I41" s="102">
        <v>78034</v>
      </c>
      <c r="L41" s="1749"/>
      <c r="M41" s="8"/>
    </row>
    <row r="42" spans="1:13" ht="15" customHeight="1">
      <c r="A42" s="285" t="s">
        <v>1426</v>
      </c>
      <c r="B42" s="123" t="s">
        <v>1384</v>
      </c>
      <c r="C42" s="110">
        <v>1</v>
      </c>
      <c r="D42" s="108" t="s">
        <v>1384</v>
      </c>
      <c r="E42" s="110">
        <v>6</v>
      </c>
      <c r="F42" s="36" t="s">
        <v>1384</v>
      </c>
      <c r="G42" s="110">
        <v>13</v>
      </c>
      <c r="H42" s="110">
        <v>13</v>
      </c>
      <c r="I42" s="102">
        <v>44189</v>
      </c>
      <c r="L42" s="1749"/>
      <c r="M42" s="8"/>
    </row>
    <row r="43" spans="1:13" ht="15" customHeight="1">
      <c r="A43" s="604" t="s">
        <v>1570</v>
      </c>
      <c r="B43" s="123" t="s">
        <v>1384</v>
      </c>
      <c r="C43" s="110">
        <v>1</v>
      </c>
      <c r="D43" s="108" t="s">
        <v>1384</v>
      </c>
      <c r="E43" s="110">
        <v>3</v>
      </c>
      <c r="F43" s="36" t="s">
        <v>1384</v>
      </c>
      <c r="G43" s="110">
        <v>12</v>
      </c>
      <c r="H43" s="110">
        <v>8</v>
      </c>
      <c r="I43" s="102">
        <v>52830</v>
      </c>
      <c r="L43" s="1749"/>
      <c r="M43" s="8"/>
    </row>
    <row r="44" spans="1:13" ht="15" customHeight="1">
      <c r="A44" s="285" t="s">
        <v>1429</v>
      </c>
      <c r="B44" s="123" t="s">
        <v>1384</v>
      </c>
      <c r="C44" s="110">
        <v>1</v>
      </c>
      <c r="D44" s="108" t="s">
        <v>1384</v>
      </c>
      <c r="E44" s="110">
        <v>4</v>
      </c>
      <c r="F44" s="36" t="s">
        <v>1384</v>
      </c>
      <c r="G44" s="110">
        <v>9</v>
      </c>
      <c r="H44" s="110">
        <v>10</v>
      </c>
      <c r="I44" s="102">
        <v>29533</v>
      </c>
      <c r="L44" s="1749"/>
      <c r="M44" s="8"/>
    </row>
    <row r="45" spans="1:13" ht="15" customHeight="1">
      <c r="A45" s="274" t="s">
        <v>1427</v>
      </c>
      <c r="B45" s="109">
        <v>1</v>
      </c>
      <c r="C45" s="111" t="s">
        <v>1384</v>
      </c>
      <c r="D45" s="443" t="s">
        <v>1384</v>
      </c>
      <c r="E45" s="111" t="s">
        <v>1384</v>
      </c>
      <c r="F45" s="587" t="s">
        <v>1384</v>
      </c>
      <c r="G45" s="111">
        <v>2</v>
      </c>
      <c r="H45" s="111">
        <v>7</v>
      </c>
      <c r="I45" s="116">
        <v>9852</v>
      </c>
      <c r="L45" s="1749"/>
      <c r="M45" s="8"/>
    </row>
    <row r="46" spans="1:13" ht="12" customHeight="1">
      <c r="A46" s="1111" t="s">
        <v>550</v>
      </c>
      <c r="B46" s="202"/>
      <c r="C46" s="202"/>
      <c r="D46" s="1111" t="s">
        <v>818</v>
      </c>
      <c r="G46" s="248" t="s">
        <v>1557</v>
      </c>
      <c r="H46" s="2172" t="str">
        <f>CONCATENATE("Dy. Director, Animal Resources and Development Parishad Office, ",District!A1)</f>
        <v>Dy. Director, Animal Resources and Development Parishad Office, Purba Medinipur</v>
      </c>
      <c r="I46" s="2172"/>
      <c r="L46" s="7"/>
      <c r="M46" s="7"/>
    </row>
    <row r="47" spans="1:13" ht="12" customHeight="1">
      <c r="A47" s="1111" t="s">
        <v>815</v>
      </c>
      <c r="C47" s="202"/>
      <c r="D47" s="1118" t="s">
        <v>198</v>
      </c>
      <c r="F47" s="1041"/>
      <c r="G47" s="1520"/>
      <c r="H47" s="2173"/>
      <c r="I47" s="2173"/>
    </row>
    <row r="48" spans="1:13" ht="12" customHeight="1">
      <c r="A48" s="1111" t="s">
        <v>819</v>
      </c>
      <c r="B48" s="202"/>
      <c r="C48" s="202"/>
      <c r="D48" s="1111" t="s">
        <v>817</v>
      </c>
      <c r="H48" s="2173"/>
      <c r="I48" s="2173"/>
    </row>
    <row r="49" spans="1:9" ht="12" customHeight="1">
      <c r="A49" s="2170" t="s">
        <v>816</v>
      </c>
      <c r="B49" s="2170"/>
      <c r="C49" s="2170"/>
      <c r="D49" s="2170"/>
      <c r="E49" s="2170"/>
      <c r="F49" s="2170"/>
      <c r="G49" s="8"/>
      <c r="H49" s="2173"/>
      <c r="I49" s="2173"/>
    </row>
    <row r="50" spans="1:9" ht="12" customHeight="1">
      <c r="B50" s="202"/>
      <c r="C50" s="202"/>
      <c r="D50" s="202"/>
      <c r="E50" s="8"/>
      <c r="F50" s="8"/>
      <c r="G50" s="8"/>
      <c r="H50" s="8"/>
    </row>
    <row r="51" spans="1:9" ht="12" customHeight="1">
      <c r="B51" s="202"/>
      <c r="C51" s="202"/>
      <c r="D51" s="202"/>
      <c r="E51" s="8"/>
      <c r="F51" s="8"/>
      <c r="G51" s="8"/>
      <c r="H51" s="8"/>
    </row>
    <row r="52" spans="1:9" ht="12" customHeight="1">
      <c r="B52" s="202"/>
      <c r="C52" s="594"/>
      <c r="D52" s="202"/>
      <c r="E52" s="8"/>
      <c r="F52" s="8"/>
      <c r="G52" s="8"/>
      <c r="H52" s="8"/>
    </row>
    <row r="53" spans="1:9" ht="12.4" customHeight="1">
      <c r="B53" s="594"/>
    </row>
  </sheetData>
  <mergeCells count="5">
    <mergeCell ref="A49:F49"/>
    <mergeCell ref="A1:I1"/>
    <mergeCell ref="A2:I2"/>
    <mergeCell ref="B11:I11"/>
    <mergeCell ref="H46:I49"/>
  </mergeCells>
  <phoneticPr fontId="0" type="noConversion"/>
  <printOptions horizontalCentered="1"/>
  <pageMargins left="0.63" right="0.1" top="0.36" bottom="0.1" header="0.39" footer="0.1"/>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dimension ref="A1:H49"/>
  <sheetViews>
    <sheetView workbookViewId="0">
      <selection activeCell="H51" sqref="H51"/>
    </sheetView>
  </sheetViews>
  <sheetFormatPr defaultRowHeight="12.75"/>
  <cols>
    <col min="1" max="1" width="2.85546875" style="128" customWidth="1"/>
    <col min="2" max="2" width="13.7109375" style="128" customWidth="1"/>
    <col min="3" max="3" width="9.7109375" style="128" customWidth="1"/>
    <col min="4" max="4" width="11.140625" style="128" customWidth="1"/>
    <col min="5" max="5" width="13.85546875" style="128" customWidth="1"/>
    <col min="6" max="6" width="16.28515625" style="128" customWidth="1"/>
    <col min="7" max="7" width="16.85546875" style="128" customWidth="1"/>
    <col min="8" max="16384" width="9.140625" style="128"/>
  </cols>
  <sheetData>
    <row r="1" spans="1:7" ht="14.25" customHeight="1">
      <c r="A1" s="1825" t="s">
        <v>811</v>
      </c>
      <c r="B1" s="1825"/>
      <c r="C1" s="1825"/>
      <c r="D1" s="1825"/>
      <c r="E1" s="1825"/>
      <c r="F1" s="1825"/>
      <c r="G1" s="1825"/>
    </row>
    <row r="2" spans="1:7" ht="19.5" customHeight="1">
      <c r="A2" s="1835" t="str">
        <f>CONCATENATE("Progress of Co-operative Movement in the district of ",District!A1)</f>
        <v>Progress of Co-operative Movement in the district of Purba Medinipur</v>
      </c>
      <c r="B2" s="1835"/>
      <c r="C2" s="1835"/>
      <c r="D2" s="1835"/>
      <c r="E2" s="1835"/>
      <c r="F2" s="1835"/>
      <c r="G2" s="1835"/>
    </row>
    <row r="3" spans="1:7" ht="15.75" customHeight="1">
      <c r="A3" s="1929" t="s">
        <v>1076</v>
      </c>
      <c r="B3" s="2165"/>
      <c r="C3" s="1829" t="s">
        <v>415</v>
      </c>
      <c r="D3" s="1828"/>
      <c r="E3" s="1833" t="s">
        <v>1077</v>
      </c>
      <c r="F3" s="1833" t="s">
        <v>1482</v>
      </c>
      <c r="G3" s="1931" t="s">
        <v>1483</v>
      </c>
    </row>
    <row r="4" spans="1:7" ht="37.5" customHeight="1">
      <c r="A4" s="1957"/>
      <c r="B4" s="1958"/>
      <c r="C4" s="405" t="s">
        <v>933</v>
      </c>
      <c r="D4" s="160" t="s">
        <v>934</v>
      </c>
      <c r="E4" s="2174"/>
      <c r="F4" s="1870"/>
      <c r="G4" s="1867"/>
    </row>
    <row r="5" spans="1:7" ht="14.25" customHeight="1">
      <c r="A5" s="2176" t="s">
        <v>955</v>
      </c>
      <c r="B5" s="2177"/>
      <c r="C5" s="137" t="s">
        <v>956</v>
      </c>
      <c r="D5" s="134" t="s">
        <v>957</v>
      </c>
      <c r="E5" s="270" t="s">
        <v>958</v>
      </c>
      <c r="F5" s="209" t="s">
        <v>959</v>
      </c>
      <c r="G5" s="290" t="s">
        <v>961</v>
      </c>
    </row>
    <row r="6" spans="1:7" ht="15" customHeight="1">
      <c r="A6" s="1424" t="s">
        <v>213</v>
      </c>
      <c r="B6" s="643" t="s">
        <v>222</v>
      </c>
      <c r="C6" s="1225"/>
      <c r="D6" s="537"/>
      <c r="E6" s="1225"/>
      <c r="F6" s="537"/>
      <c r="G6" s="1053"/>
    </row>
    <row r="7" spans="1:7" ht="15" customHeight="1">
      <c r="A7" s="149"/>
      <c r="B7" s="1539" t="s">
        <v>1356</v>
      </c>
      <c r="C7" s="425">
        <v>3</v>
      </c>
      <c r="D7" s="1544">
        <v>1515</v>
      </c>
      <c r="E7" s="441">
        <v>12952728</v>
      </c>
      <c r="F7" s="441">
        <v>4695734</v>
      </c>
      <c r="G7" s="441">
        <v>8210438</v>
      </c>
    </row>
    <row r="8" spans="1:7" ht="15" customHeight="1">
      <c r="A8" s="149"/>
      <c r="B8" s="1532" t="s">
        <v>306</v>
      </c>
      <c r="C8" s="425">
        <v>3</v>
      </c>
      <c r="D8" s="1535">
        <v>1570</v>
      </c>
      <c r="E8" s="1541">
        <v>15290219</v>
      </c>
      <c r="F8" s="1541">
        <v>4696292</v>
      </c>
      <c r="G8" s="441">
        <v>9329708</v>
      </c>
    </row>
    <row r="9" spans="1:7" ht="15" customHeight="1">
      <c r="A9" s="149"/>
      <c r="B9" s="1532" t="s">
        <v>1357</v>
      </c>
      <c r="C9" s="1002">
        <v>3</v>
      </c>
      <c r="D9" s="1540">
        <v>1517</v>
      </c>
      <c r="E9" s="441">
        <v>16909035</v>
      </c>
      <c r="F9" s="441">
        <v>4030124</v>
      </c>
      <c r="G9" s="441">
        <v>10945502</v>
      </c>
    </row>
    <row r="10" spans="1:7" ht="15" customHeight="1">
      <c r="A10" s="149"/>
      <c r="B10" s="1532" t="s">
        <v>628</v>
      </c>
      <c r="C10" s="1002">
        <v>3</v>
      </c>
      <c r="D10" s="1540">
        <v>1458</v>
      </c>
      <c r="E10" s="441">
        <v>20931054</v>
      </c>
      <c r="F10" s="441">
        <v>8067120</v>
      </c>
      <c r="G10" s="441">
        <v>10481426</v>
      </c>
    </row>
    <row r="11" spans="1:7" ht="15" customHeight="1">
      <c r="A11" s="149"/>
      <c r="B11" s="1532" t="s">
        <v>1639</v>
      </c>
      <c r="C11" s="1002">
        <v>3</v>
      </c>
      <c r="D11" s="46">
        <v>1453</v>
      </c>
      <c r="E11" s="441">
        <v>22633992</v>
      </c>
      <c r="F11" s="441">
        <v>8640131</v>
      </c>
      <c r="G11" s="441">
        <v>13662170</v>
      </c>
    </row>
    <row r="12" spans="1:7" ht="15" customHeight="1">
      <c r="A12" s="1425" t="s">
        <v>214</v>
      </c>
      <c r="B12" s="2106" t="s">
        <v>1370</v>
      </c>
      <c r="C12" s="2106"/>
      <c r="D12" s="2107"/>
      <c r="E12" s="46"/>
      <c r="F12" s="110"/>
      <c r="G12" s="102"/>
    </row>
    <row r="13" spans="1:7" ht="15" customHeight="1">
      <c r="A13" s="149"/>
      <c r="B13" s="1539" t="s">
        <v>1356</v>
      </c>
      <c r="C13" s="434">
        <v>2</v>
      </c>
      <c r="D13" s="441">
        <v>92545</v>
      </c>
      <c r="E13" s="434">
        <v>1684790</v>
      </c>
      <c r="F13" s="441">
        <v>1020873</v>
      </c>
      <c r="G13" s="1542">
        <v>1207100</v>
      </c>
    </row>
    <row r="14" spans="1:7" ht="15" customHeight="1">
      <c r="A14" s="149"/>
      <c r="B14" s="1532" t="s">
        <v>306</v>
      </c>
      <c r="C14" s="434">
        <v>2</v>
      </c>
      <c r="D14" s="441">
        <v>97911</v>
      </c>
      <c r="E14" s="441">
        <v>1599605</v>
      </c>
      <c r="F14" s="441">
        <v>2356979</v>
      </c>
      <c r="G14" s="441">
        <v>484184</v>
      </c>
    </row>
    <row r="15" spans="1:7" ht="15" customHeight="1">
      <c r="A15" s="149"/>
      <c r="B15" s="1532" t="s">
        <v>1357</v>
      </c>
      <c r="C15" s="434">
        <v>2</v>
      </c>
      <c r="D15" s="441">
        <v>102035</v>
      </c>
      <c r="E15" s="434">
        <v>3535351</v>
      </c>
      <c r="F15" s="441">
        <v>2642144</v>
      </c>
      <c r="G15" s="1542">
        <v>700567</v>
      </c>
    </row>
    <row r="16" spans="1:7" ht="15" customHeight="1">
      <c r="A16" s="149"/>
      <c r="B16" s="1532" t="s">
        <v>628</v>
      </c>
      <c r="C16" s="434">
        <v>2</v>
      </c>
      <c r="D16" s="441">
        <v>105369</v>
      </c>
      <c r="E16" s="434">
        <v>3749939</v>
      </c>
      <c r="F16" s="441">
        <v>2813920</v>
      </c>
      <c r="G16" s="1542">
        <v>647306</v>
      </c>
    </row>
    <row r="17" spans="1:8" ht="15" customHeight="1">
      <c r="A17" s="149"/>
      <c r="B17" s="1532" t="s">
        <v>1639</v>
      </c>
      <c r="C17" s="434">
        <v>2</v>
      </c>
      <c r="D17" s="441">
        <v>109308</v>
      </c>
      <c r="E17" s="434">
        <v>4257138</v>
      </c>
      <c r="F17" s="441">
        <v>2907270</v>
      </c>
      <c r="G17" s="424">
        <v>743355</v>
      </c>
    </row>
    <row r="18" spans="1:8" ht="15" customHeight="1">
      <c r="A18" s="1425" t="s">
        <v>215</v>
      </c>
      <c r="B18" s="2106" t="s">
        <v>1371</v>
      </c>
      <c r="C18" s="2106"/>
      <c r="D18" s="2107"/>
      <c r="E18" s="46"/>
      <c r="F18" s="110"/>
      <c r="G18" s="102"/>
    </row>
    <row r="19" spans="1:8" ht="15" customHeight="1">
      <c r="A19" s="149"/>
      <c r="B19" s="1539" t="s">
        <v>1356</v>
      </c>
      <c r="C19" s="425">
        <v>716</v>
      </c>
      <c r="D19" s="441">
        <v>520800</v>
      </c>
      <c r="E19" s="434">
        <v>6181600</v>
      </c>
      <c r="F19" s="441">
        <v>1657170</v>
      </c>
      <c r="G19" s="1542">
        <v>2796944</v>
      </c>
    </row>
    <row r="20" spans="1:8" ht="15" customHeight="1">
      <c r="A20" s="149"/>
      <c r="B20" s="1532" t="s">
        <v>306</v>
      </c>
      <c r="C20" s="425">
        <v>722</v>
      </c>
      <c r="D20" s="441">
        <v>545452</v>
      </c>
      <c r="E20" s="441">
        <v>7464851</v>
      </c>
      <c r="F20" s="441">
        <v>2644977</v>
      </c>
      <c r="G20" s="441">
        <v>3984781</v>
      </c>
    </row>
    <row r="21" spans="1:8" ht="15" customHeight="1">
      <c r="A21" s="149"/>
      <c r="B21" s="1532" t="s">
        <v>1357</v>
      </c>
      <c r="C21" s="425">
        <v>723</v>
      </c>
      <c r="D21" s="441">
        <v>549417</v>
      </c>
      <c r="E21" s="434">
        <v>8077258</v>
      </c>
      <c r="F21" s="441">
        <v>3085740</v>
      </c>
      <c r="G21" s="1542">
        <v>4669938</v>
      </c>
    </row>
    <row r="22" spans="1:8" ht="15" customHeight="1">
      <c r="A22" s="149"/>
      <c r="B22" s="1532" t="s">
        <v>628</v>
      </c>
      <c r="C22" s="425">
        <v>723</v>
      </c>
      <c r="D22" s="441">
        <v>570857</v>
      </c>
      <c r="E22" s="434">
        <v>8406113</v>
      </c>
      <c r="F22" s="441">
        <v>3841357</v>
      </c>
      <c r="G22" s="1542">
        <v>5492338</v>
      </c>
    </row>
    <row r="23" spans="1:8" ht="15" customHeight="1">
      <c r="A23" s="149"/>
      <c r="B23" s="1532" t="s">
        <v>1639</v>
      </c>
      <c r="C23" s="425">
        <v>723</v>
      </c>
      <c r="D23" s="441">
        <v>619702</v>
      </c>
      <c r="E23" s="434">
        <v>11992785</v>
      </c>
      <c r="F23" s="441">
        <v>3734887</v>
      </c>
      <c r="G23" s="424">
        <v>6031166</v>
      </c>
    </row>
    <row r="24" spans="1:8" ht="15" customHeight="1">
      <c r="A24" s="1425" t="s">
        <v>216</v>
      </c>
      <c r="B24" s="532" t="s">
        <v>1372</v>
      </c>
      <c r="C24" s="532"/>
      <c r="D24" s="532"/>
      <c r="E24" s="914"/>
      <c r="F24" s="110"/>
      <c r="G24" s="102"/>
    </row>
    <row r="25" spans="1:8" ht="15" customHeight="1">
      <c r="A25" s="149"/>
      <c r="B25" s="1539" t="s">
        <v>1356</v>
      </c>
      <c r="C25" s="425">
        <v>536</v>
      </c>
      <c r="D25" s="441">
        <v>108168</v>
      </c>
      <c r="E25" s="434">
        <v>7617959</v>
      </c>
      <c r="F25" s="441">
        <v>4290436</v>
      </c>
      <c r="G25" s="1542">
        <v>3929294</v>
      </c>
    </row>
    <row r="26" spans="1:8" ht="15" customHeight="1">
      <c r="A26" s="149"/>
      <c r="B26" s="1532" t="s">
        <v>306</v>
      </c>
      <c r="C26" s="425">
        <v>534</v>
      </c>
      <c r="D26" s="441">
        <v>111176</v>
      </c>
      <c r="E26" s="441">
        <v>8913793</v>
      </c>
      <c r="F26" s="441">
        <v>5752316</v>
      </c>
      <c r="G26" s="441">
        <v>5310446</v>
      </c>
    </row>
    <row r="27" spans="1:8" ht="15" customHeight="1">
      <c r="A27" s="149"/>
      <c r="B27" s="1532" t="s">
        <v>1357</v>
      </c>
      <c r="C27" s="425">
        <v>535</v>
      </c>
      <c r="D27" s="441">
        <v>111495</v>
      </c>
      <c r="E27" s="434">
        <v>9580494</v>
      </c>
      <c r="F27" s="441">
        <v>6440238</v>
      </c>
      <c r="G27" s="1542">
        <v>6058724</v>
      </c>
    </row>
    <row r="28" spans="1:8" ht="15" customHeight="1">
      <c r="A28" s="149"/>
      <c r="B28" s="1532" t="s">
        <v>628</v>
      </c>
      <c r="C28" s="425">
        <v>533</v>
      </c>
      <c r="D28" s="441">
        <v>111632</v>
      </c>
      <c r="E28" s="434">
        <v>9613537</v>
      </c>
      <c r="F28" s="441">
        <v>6894844</v>
      </c>
      <c r="G28" s="1542">
        <v>7719556</v>
      </c>
    </row>
    <row r="29" spans="1:8" ht="15" customHeight="1">
      <c r="A29" s="149"/>
      <c r="B29" s="1532" t="s">
        <v>1639</v>
      </c>
      <c r="C29" s="425">
        <v>564</v>
      </c>
      <c r="D29" s="441">
        <v>116479</v>
      </c>
      <c r="E29" s="434">
        <v>12186706</v>
      </c>
      <c r="F29" s="441">
        <v>7593812</v>
      </c>
      <c r="G29" s="424">
        <v>7780500</v>
      </c>
    </row>
    <row r="30" spans="1:8" ht="15" customHeight="1">
      <c r="A30" s="1425" t="s">
        <v>217</v>
      </c>
      <c r="B30" s="2106" t="s">
        <v>221</v>
      </c>
      <c r="C30" s="2106"/>
      <c r="D30" s="2107"/>
      <c r="E30" s="1426"/>
      <c r="F30" s="110"/>
      <c r="G30" s="102"/>
    </row>
    <row r="31" spans="1:8" ht="15" customHeight="1">
      <c r="A31" s="149"/>
      <c r="B31" s="1539" t="s">
        <v>1356</v>
      </c>
      <c r="C31" s="110">
        <f t="shared" ref="C31:G35" si="0">SUM(C7,C13,C19,C25)</f>
        <v>1257</v>
      </c>
      <c r="D31" s="110">
        <f t="shared" si="0"/>
        <v>723028</v>
      </c>
      <c r="E31" s="110">
        <f t="shared" si="0"/>
        <v>28437077</v>
      </c>
      <c r="F31" s="110">
        <f t="shared" si="0"/>
        <v>11664213</v>
      </c>
      <c r="G31" s="110">
        <f t="shared" si="0"/>
        <v>16143776</v>
      </c>
      <c r="H31" s="150"/>
    </row>
    <row r="32" spans="1:8" ht="15" customHeight="1">
      <c r="A32" s="149"/>
      <c r="B32" s="1532" t="s">
        <v>306</v>
      </c>
      <c r="C32" s="110">
        <f t="shared" si="0"/>
        <v>1261</v>
      </c>
      <c r="D32" s="110">
        <f t="shared" si="0"/>
        <v>756109</v>
      </c>
      <c r="E32" s="110">
        <f t="shared" si="0"/>
        <v>33268468</v>
      </c>
      <c r="F32" s="110">
        <f t="shared" si="0"/>
        <v>15450564</v>
      </c>
      <c r="G32" s="110">
        <f t="shared" si="0"/>
        <v>19109119</v>
      </c>
    </row>
    <row r="33" spans="1:7" ht="15" customHeight="1">
      <c r="A33" s="149"/>
      <c r="B33" s="1532" t="s">
        <v>1357</v>
      </c>
      <c r="C33" s="110">
        <f t="shared" si="0"/>
        <v>1263</v>
      </c>
      <c r="D33" s="110">
        <f t="shared" si="0"/>
        <v>764464</v>
      </c>
      <c r="E33" s="110">
        <f t="shared" si="0"/>
        <v>38102138</v>
      </c>
      <c r="F33" s="110">
        <f t="shared" si="0"/>
        <v>16198246</v>
      </c>
      <c r="G33" s="110">
        <f t="shared" si="0"/>
        <v>22374731</v>
      </c>
    </row>
    <row r="34" spans="1:7" ht="15" customHeight="1">
      <c r="A34" s="149"/>
      <c r="B34" s="1532" t="s">
        <v>628</v>
      </c>
      <c r="C34" s="708">
        <f t="shared" si="0"/>
        <v>1261</v>
      </c>
      <c r="D34" s="1420">
        <f t="shared" si="0"/>
        <v>789316</v>
      </c>
      <c r="E34" s="1420">
        <f t="shared" si="0"/>
        <v>42700643</v>
      </c>
      <c r="F34" s="1420">
        <f t="shared" si="0"/>
        <v>21617241</v>
      </c>
      <c r="G34" s="284">
        <f t="shared" si="0"/>
        <v>24340626</v>
      </c>
    </row>
    <row r="35" spans="1:7" ht="15" customHeight="1">
      <c r="A35" s="149"/>
      <c r="B35" s="1532" t="s">
        <v>1639</v>
      </c>
      <c r="C35" s="708">
        <f t="shared" si="0"/>
        <v>1292</v>
      </c>
      <c r="D35" s="1420">
        <f t="shared" si="0"/>
        <v>846942</v>
      </c>
      <c r="E35" s="1420">
        <f t="shared" si="0"/>
        <v>51070621</v>
      </c>
      <c r="F35" s="1420">
        <f t="shared" si="0"/>
        <v>22876100</v>
      </c>
      <c r="G35" s="284">
        <f t="shared" si="0"/>
        <v>28217191</v>
      </c>
    </row>
    <row r="36" spans="1:7" ht="15" customHeight="1">
      <c r="A36" s="1425" t="s">
        <v>218</v>
      </c>
      <c r="B36" s="2106" t="s">
        <v>1373</v>
      </c>
      <c r="C36" s="2106"/>
      <c r="D36" s="110"/>
      <c r="E36" s="46"/>
      <c r="F36" s="110"/>
      <c r="G36" s="102"/>
    </row>
    <row r="37" spans="1:7" ht="15" customHeight="1">
      <c r="A37" s="149"/>
      <c r="B37" s="1539" t="s">
        <v>1356</v>
      </c>
      <c r="C37" s="425">
        <v>376</v>
      </c>
      <c r="D37" s="1002">
        <v>19050</v>
      </c>
      <c r="E37" s="434">
        <v>414203</v>
      </c>
      <c r="F37" s="145" t="s">
        <v>1384</v>
      </c>
      <c r="G37" s="144" t="s">
        <v>1384</v>
      </c>
    </row>
    <row r="38" spans="1:7" ht="15" customHeight="1">
      <c r="A38" s="149"/>
      <c r="B38" s="1532" t="s">
        <v>306</v>
      </c>
      <c r="C38" s="425">
        <v>373</v>
      </c>
      <c r="D38" s="1002">
        <v>21016</v>
      </c>
      <c r="E38" s="1542">
        <v>457221</v>
      </c>
      <c r="F38" s="547" t="s">
        <v>1384</v>
      </c>
      <c r="G38" s="548" t="s">
        <v>1384</v>
      </c>
    </row>
    <row r="39" spans="1:7" ht="15" customHeight="1">
      <c r="A39" s="149"/>
      <c r="B39" s="1532" t="s">
        <v>1357</v>
      </c>
      <c r="C39" s="1002">
        <v>376</v>
      </c>
      <c r="D39" s="1065">
        <v>21166</v>
      </c>
      <c r="E39" s="434">
        <v>490893</v>
      </c>
      <c r="F39" s="1427" t="s">
        <v>1384</v>
      </c>
      <c r="G39" s="1428" t="s">
        <v>1384</v>
      </c>
    </row>
    <row r="40" spans="1:7" ht="15" customHeight="1">
      <c r="A40" s="149"/>
      <c r="B40" s="1532" t="s">
        <v>628</v>
      </c>
      <c r="C40" s="1002">
        <v>354</v>
      </c>
      <c r="D40" s="1065">
        <v>21085</v>
      </c>
      <c r="E40" s="434">
        <v>493043</v>
      </c>
      <c r="F40" s="1427" t="s">
        <v>1384</v>
      </c>
      <c r="G40" s="1428" t="s">
        <v>1384</v>
      </c>
    </row>
    <row r="41" spans="1:7" ht="15" customHeight="1">
      <c r="A41" s="149"/>
      <c r="B41" s="1532" t="s">
        <v>1639</v>
      </c>
      <c r="C41" s="1002">
        <v>355</v>
      </c>
      <c r="D41" s="1065">
        <v>23448</v>
      </c>
      <c r="E41" s="434">
        <v>563471</v>
      </c>
      <c r="F41" s="1427" t="s">
        <v>918</v>
      </c>
      <c r="G41" s="1428" t="s">
        <v>918</v>
      </c>
    </row>
    <row r="42" spans="1:7" ht="15" customHeight="1">
      <c r="A42" s="1425" t="s">
        <v>219</v>
      </c>
      <c r="B42" s="2106" t="s">
        <v>220</v>
      </c>
      <c r="C42" s="2106"/>
      <c r="D42" s="2106"/>
      <c r="E42" s="2106"/>
      <c r="F42" s="110"/>
      <c r="G42" s="144"/>
    </row>
    <row r="43" spans="1:7" ht="15" customHeight="1">
      <c r="A43" s="149"/>
      <c r="B43" s="1539" t="s">
        <v>1356</v>
      </c>
      <c r="C43" s="117">
        <f t="shared" ref="C43:G47" si="1">SUM(C31,C37)</f>
        <v>1633</v>
      </c>
      <c r="D43" s="117">
        <f t="shared" si="1"/>
        <v>742078</v>
      </c>
      <c r="E43" s="117">
        <f t="shared" si="1"/>
        <v>28851280</v>
      </c>
      <c r="F43" s="117">
        <f t="shared" si="1"/>
        <v>11664213</v>
      </c>
      <c r="G43" s="110">
        <f t="shared" si="1"/>
        <v>16143776</v>
      </c>
    </row>
    <row r="44" spans="1:7" ht="15" customHeight="1">
      <c r="A44" s="149"/>
      <c r="B44" s="1532" t="s">
        <v>306</v>
      </c>
      <c r="C44" s="117">
        <f t="shared" si="1"/>
        <v>1634</v>
      </c>
      <c r="D44" s="117">
        <f t="shared" si="1"/>
        <v>777125</v>
      </c>
      <c r="E44" s="117">
        <f t="shared" si="1"/>
        <v>33725689</v>
      </c>
      <c r="F44" s="117">
        <f t="shared" si="1"/>
        <v>15450564</v>
      </c>
      <c r="G44" s="110">
        <f t="shared" si="1"/>
        <v>19109119</v>
      </c>
    </row>
    <row r="45" spans="1:7" ht="15" customHeight="1">
      <c r="A45" s="149"/>
      <c r="B45" s="1532" t="s">
        <v>1357</v>
      </c>
      <c r="C45" s="407">
        <f t="shared" si="1"/>
        <v>1639</v>
      </c>
      <c r="D45" s="407">
        <f t="shared" si="1"/>
        <v>785630</v>
      </c>
      <c r="E45" s="407">
        <f t="shared" si="1"/>
        <v>38593031</v>
      </c>
      <c r="F45" s="407">
        <f t="shared" si="1"/>
        <v>16198246</v>
      </c>
      <c r="G45" s="391">
        <f t="shared" si="1"/>
        <v>22374731</v>
      </c>
    </row>
    <row r="46" spans="1:7" ht="15" customHeight="1">
      <c r="A46" s="149"/>
      <c r="B46" s="1532" t="s">
        <v>628</v>
      </c>
      <c r="C46" s="1420">
        <f t="shared" si="1"/>
        <v>1615</v>
      </c>
      <c r="D46" s="1420">
        <f t="shared" si="1"/>
        <v>810401</v>
      </c>
      <c r="E46" s="1420">
        <f t="shared" si="1"/>
        <v>43193686</v>
      </c>
      <c r="F46" s="1420">
        <f t="shared" si="1"/>
        <v>21617241</v>
      </c>
      <c r="G46" s="284">
        <f t="shared" si="1"/>
        <v>24340626</v>
      </c>
    </row>
    <row r="47" spans="1:7" ht="15" customHeight="1">
      <c r="A47" s="552"/>
      <c r="B47" s="1429" t="s">
        <v>1639</v>
      </c>
      <c r="C47" s="491">
        <f t="shared" si="1"/>
        <v>1647</v>
      </c>
      <c r="D47" s="491">
        <f t="shared" si="1"/>
        <v>870390</v>
      </c>
      <c r="E47" s="491">
        <f t="shared" si="1"/>
        <v>51634092</v>
      </c>
      <c r="F47" s="491">
        <f t="shared" si="1"/>
        <v>22876100</v>
      </c>
      <c r="G47" s="491">
        <f t="shared" si="1"/>
        <v>28217191</v>
      </c>
    </row>
    <row r="48" spans="1:7" ht="24.75" customHeight="1">
      <c r="A48" s="1430"/>
      <c r="C48" s="531"/>
      <c r="D48" s="531"/>
      <c r="E48" s="2175" t="s">
        <v>1213</v>
      </c>
      <c r="F48" s="2175"/>
      <c r="G48" s="2175"/>
    </row>
    <row r="49" spans="2:7">
      <c r="B49" s="1431"/>
      <c r="C49" s="1432"/>
      <c r="D49" s="1432"/>
      <c r="E49" s="1433"/>
      <c r="F49" s="1433"/>
      <c r="G49" s="1433"/>
    </row>
  </sheetData>
  <mergeCells count="14">
    <mergeCell ref="E48:G48"/>
    <mergeCell ref="B42:E42"/>
    <mergeCell ref="B30:D30"/>
    <mergeCell ref="A5:B5"/>
    <mergeCell ref="B12:D12"/>
    <mergeCell ref="B18:D18"/>
    <mergeCell ref="B36:C36"/>
    <mergeCell ref="A3:B4"/>
    <mergeCell ref="C3:D3"/>
    <mergeCell ref="E3:E4"/>
    <mergeCell ref="A1:G1"/>
    <mergeCell ref="F3:F4"/>
    <mergeCell ref="G3:G4"/>
    <mergeCell ref="A2:G2"/>
  </mergeCells>
  <phoneticPr fontId="0" type="noConversion"/>
  <printOptions horizontalCentered="1"/>
  <pageMargins left="0.1" right="0.1" top="0.51" bottom="0.1" header="0.66" footer="0.1"/>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dimension ref="A1:AF30"/>
  <sheetViews>
    <sheetView workbookViewId="0">
      <selection activeCell="C3" sqref="C3"/>
    </sheetView>
  </sheetViews>
  <sheetFormatPr defaultRowHeight="12.75"/>
  <cols>
    <col min="1" max="1" width="8.28515625" customWidth="1"/>
    <col min="2" max="2" width="6" customWidth="1"/>
    <col min="3" max="3" width="8.28515625" customWidth="1"/>
    <col min="4" max="4" width="7.7109375" customWidth="1"/>
    <col min="5" max="5" width="8.5703125" customWidth="1"/>
    <col min="6" max="6" width="6.42578125" customWidth="1"/>
    <col min="7" max="7" width="8.42578125" customWidth="1"/>
    <col min="8" max="8" width="7.42578125" customWidth="1"/>
    <col min="9" max="9" width="8.140625" customWidth="1"/>
    <col min="10" max="10" width="6.140625" customWidth="1"/>
    <col min="11" max="11" width="8.28515625" customWidth="1"/>
    <col min="12" max="12" width="7.42578125" customWidth="1"/>
    <col min="13" max="13" width="9.28515625" customWidth="1"/>
    <col min="14" max="14" width="6" customWidth="1"/>
    <col min="15" max="15" width="8.5703125" customWidth="1"/>
    <col min="16" max="16" width="7.42578125" customWidth="1"/>
    <col min="17" max="17" width="8.42578125" customWidth="1"/>
    <col min="18" max="18" width="14" customWidth="1"/>
  </cols>
  <sheetData>
    <row r="1" spans="1:32" ht="13.5" customHeight="1">
      <c r="A1" s="1825" t="s">
        <v>292</v>
      </c>
      <c r="B1" s="1825"/>
      <c r="C1" s="1825"/>
      <c r="D1" s="1825"/>
      <c r="E1" s="1825"/>
      <c r="F1" s="1825"/>
      <c r="G1" s="1825"/>
      <c r="H1" s="1825"/>
      <c r="I1" s="1825"/>
      <c r="J1" s="1825"/>
      <c r="K1" s="1825"/>
      <c r="L1" s="1825"/>
      <c r="M1" s="1825"/>
      <c r="N1" s="1825"/>
      <c r="O1" s="1825"/>
      <c r="P1" s="1825"/>
      <c r="Q1" s="1825"/>
      <c r="R1" s="1825"/>
    </row>
    <row r="2" spans="1:32" ht="16.5" customHeight="1">
      <c r="A2" s="1835" t="str">
        <f>CONCATENATE("Progress of Commercial Banking in the district of ",District!A1)</f>
        <v>Progress of Commercial Banking in the district of Purba Medinipur</v>
      </c>
      <c r="B2" s="1835"/>
      <c r="C2" s="1835"/>
      <c r="D2" s="1835"/>
      <c r="E2" s="1835"/>
      <c r="F2" s="1835"/>
      <c r="G2" s="1835"/>
      <c r="H2" s="1835"/>
      <c r="I2" s="1835"/>
      <c r="J2" s="1835"/>
      <c r="K2" s="1835"/>
      <c r="L2" s="1835"/>
      <c r="M2" s="1835"/>
      <c r="N2" s="1835"/>
      <c r="O2" s="1835"/>
      <c r="P2" s="1835"/>
      <c r="Q2" s="1835"/>
      <c r="R2" s="1835"/>
    </row>
    <row r="3" spans="1:32" ht="13.5" customHeight="1">
      <c r="A3" s="7"/>
      <c r="B3" s="7"/>
      <c r="C3" s="7"/>
      <c r="D3" s="7"/>
      <c r="E3" s="7"/>
      <c r="F3" s="7"/>
      <c r="G3" s="7"/>
      <c r="H3" s="7"/>
      <c r="I3" s="7"/>
      <c r="J3" s="7"/>
      <c r="K3" s="7"/>
      <c r="L3" s="7"/>
      <c r="M3" s="7"/>
      <c r="N3" s="7"/>
      <c r="O3" s="7"/>
      <c r="P3" s="7"/>
      <c r="Q3" s="485"/>
      <c r="R3" s="485"/>
    </row>
    <row r="4" spans="1:32" ht="15" customHeight="1">
      <c r="A4" s="2189" t="s">
        <v>872</v>
      </c>
      <c r="B4" s="1827" t="s">
        <v>1043</v>
      </c>
      <c r="C4" s="1827"/>
      <c r="D4" s="1827"/>
      <c r="E4" s="1828"/>
      <c r="F4" s="1829" t="s">
        <v>169</v>
      </c>
      <c r="G4" s="1827"/>
      <c r="H4" s="1827"/>
      <c r="I4" s="1828"/>
      <c r="J4" s="1829" t="s">
        <v>170</v>
      </c>
      <c r="K4" s="1827"/>
      <c r="L4" s="1827"/>
      <c r="M4" s="1828"/>
      <c r="N4" s="1827" t="s">
        <v>979</v>
      </c>
      <c r="O4" s="1827"/>
      <c r="P4" s="1827"/>
      <c r="Q4" s="1828"/>
      <c r="R4" s="2191" t="s">
        <v>1691</v>
      </c>
    </row>
    <row r="5" spans="1:32" ht="40.5" customHeight="1">
      <c r="A5" s="2190"/>
      <c r="B5" s="356" t="s">
        <v>1025</v>
      </c>
      <c r="C5" s="1156" t="s">
        <v>704</v>
      </c>
      <c r="D5" s="1157" t="s">
        <v>1175</v>
      </c>
      <c r="E5" s="1158" t="s">
        <v>705</v>
      </c>
      <c r="F5" s="356" t="s">
        <v>1025</v>
      </c>
      <c r="G5" s="1156" t="s">
        <v>704</v>
      </c>
      <c r="H5" s="1157" t="s">
        <v>1175</v>
      </c>
      <c r="I5" s="1158" t="s">
        <v>705</v>
      </c>
      <c r="J5" s="356" t="s">
        <v>1025</v>
      </c>
      <c r="K5" s="1156" t="s">
        <v>704</v>
      </c>
      <c r="L5" s="1157" t="s">
        <v>1175</v>
      </c>
      <c r="M5" s="1436" t="s">
        <v>705</v>
      </c>
      <c r="N5" s="357" t="s">
        <v>1025</v>
      </c>
      <c r="O5" s="1156" t="s">
        <v>704</v>
      </c>
      <c r="P5" s="1157" t="s">
        <v>1175</v>
      </c>
      <c r="Q5" s="1436" t="s">
        <v>705</v>
      </c>
      <c r="R5" s="2192"/>
    </row>
    <row r="6" spans="1:32" ht="16.5" customHeight="1">
      <c r="A6" s="981" t="s">
        <v>955</v>
      </c>
      <c r="B6" s="264" t="s">
        <v>956</v>
      </c>
      <c r="C6" s="983" t="s">
        <v>957</v>
      </c>
      <c r="D6" s="554" t="s">
        <v>958</v>
      </c>
      <c r="E6" s="982" t="s">
        <v>959</v>
      </c>
      <c r="F6" s="264" t="s">
        <v>961</v>
      </c>
      <c r="G6" s="983" t="s">
        <v>962</v>
      </c>
      <c r="H6" s="554" t="s">
        <v>990</v>
      </c>
      <c r="I6" s="982" t="s">
        <v>991</v>
      </c>
      <c r="J6" s="264" t="s">
        <v>992</v>
      </c>
      <c r="K6" s="983" t="s">
        <v>993</v>
      </c>
      <c r="L6" s="554" t="s">
        <v>1046</v>
      </c>
      <c r="M6" s="264" t="s">
        <v>1048</v>
      </c>
      <c r="N6" s="982" t="s">
        <v>1049</v>
      </c>
      <c r="O6" s="554" t="s">
        <v>1050</v>
      </c>
      <c r="P6" s="983" t="s">
        <v>1051</v>
      </c>
      <c r="Q6" s="264" t="s">
        <v>1052</v>
      </c>
      <c r="R6" s="423" t="s">
        <v>1054</v>
      </c>
    </row>
    <row r="7" spans="1:32" ht="15.75" customHeight="1">
      <c r="A7" s="947">
        <v>2010</v>
      </c>
      <c r="B7" s="984">
        <v>164</v>
      </c>
      <c r="C7" s="955">
        <v>2708</v>
      </c>
      <c r="D7" s="984">
        <v>867</v>
      </c>
      <c r="E7" s="985">
        <v>32.020000000000003</v>
      </c>
      <c r="F7" s="984">
        <v>29</v>
      </c>
      <c r="G7" s="962">
        <v>1108</v>
      </c>
      <c r="H7" s="984">
        <v>342</v>
      </c>
      <c r="I7" s="985">
        <v>30.87</v>
      </c>
      <c r="J7" s="984">
        <v>27</v>
      </c>
      <c r="K7" s="962">
        <v>1556</v>
      </c>
      <c r="L7" s="984">
        <v>386</v>
      </c>
      <c r="M7" s="986">
        <v>24.8</v>
      </c>
      <c r="N7" s="962">
        <v>220</v>
      </c>
      <c r="O7" s="984">
        <v>5372</v>
      </c>
      <c r="P7" s="962">
        <v>1595</v>
      </c>
      <c r="Q7" s="986">
        <v>29.69</v>
      </c>
      <c r="R7" s="1736" t="s">
        <v>1692</v>
      </c>
      <c r="U7" s="7"/>
      <c r="AE7" s="7"/>
      <c r="AF7" s="7"/>
    </row>
    <row r="8" spans="1:32" ht="15.75" customHeight="1">
      <c r="A8" s="947">
        <v>2011</v>
      </c>
      <c r="B8" s="984">
        <v>167</v>
      </c>
      <c r="C8" s="955">
        <v>3181</v>
      </c>
      <c r="D8" s="984">
        <v>1083</v>
      </c>
      <c r="E8" s="985">
        <v>34.1</v>
      </c>
      <c r="F8" s="984">
        <v>33</v>
      </c>
      <c r="G8" s="962">
        <v>1257</v>
      </c>
      <c r="H8" s="984">
        <v>373</v>
      </c>
      <c r="I8" s="985">
        <v>29.7</v>
      </c>
      <c r="J8" s="984">
        <v>27</v>
      </c>
      <c r="K8" s="962">
        <v>2125</v>
      </c>
      <c r="L8" s="984">
        <v>396</v>
      </c>
      <c r="M8" s="986">
        <v>18.7</v>
      </c>
      <c r="N8" s="962">
        <v>227</v>
      </c>
      <c r="O8" s="984">
        <v>6563</v>
      </c>
      <c r="P8" s="962">
        <v>1853</v>
      </c>
      <c r="Q8" s="986">
        <v>28.2</v>
      </c>
      <c r="R8" s="965">
        <f>ROUND('2.2'!$C$39/1000/'7.2,7.3'!N8,0)</f>
        <v>22</v>
      </c>
      <c r="U8" s="7"/>
      <c r="AE8" s="7"/>
      <c r="AF8" s="7"/>
    </row>
    <row r="9" spans="1:32" ht="15.75" customHeight="1">
      <c r="A9" s="947">
        <v>2012</v>
      </c>
      <c r="B9" s="984">
        <v>173</v>
      </c>
      <c r="C9" s="955">
        <v>3946</v>
      </c>
      <c r="D9" s="984">
        <v>1386</v>
      </c>
      <c r="E9" s="985">
        <f>ROUND(D9/C9*100,2)</f>
        <v>35.119999999999997</v>
      </c>
      <c r="F9" s="984">
        <v>39</v>
      </c>
      <c r="G9" s="962">
        <v>1690</v>
      </c>
      <c r="H9" s="984">
        <v>419</v>
      </c>
      <c r="I9" s="985">
        <f>ROUND(H9/G9*100,2)</f>
        <v>24.79</v>
      </c>
      <c r="J9" s="984">
        <v>27</v>
      </c>
      <c r="K9" s="962">
        <v>2423</v>
      </c>
      <c r="L9" s="984">
        <v>469</v>
      </c>
      <c r="M9" s="986">
        <f>ROUND(L9/K9*100,2)</f>
        <v>19.36</v>
      </c>
      <c r="N9" s="962">
        <v>239</v>
      </c>
      <c r="O9" s="984">
        <v>8058</v>
      </c>
      <c r="P9" s="962">
        <v>2274</v>
      </c>
      <c r="Q9" s="986">
        <f>ROUND(P9/O9*100,2)</f>
        <v>28.22</v>
      </c>
      <c r="R9" s="965">
        <f>ROUND('2.2'!$C$39/1000/'7.2,7.3'!N9,0)</f>
        <v>21</v>
      </c>
      <c r="U9" s="7"/>
      <c r="AE9" s="7"/>
      <c r="AF9" s="7"/>
    </row>
    <row r="10" spans="1:32" ht="15.75" customHeight="1">
      <c r="A10" s="1545">
        <v>2013</v>
      </c>
      <c r="B10" s="984">
        <v>183</v>
      </c>
      <c r="C10" s="1549">
        <v>4920</v>
      </c>
      <c r="D10" s="984">
        <v>1567</v>
      </c>
      <c r="E10" s="1548">
        <f>ROUND(D10/C10*100,2)</f>
        <v>31.85</v>
      </c>
      <c r="F10" s="984">
        <v>44</v>
      </c>
      <c r="G10" s="1547">
        <v>2011</v>
      </c>
      <c r="H10" s="984">
        <v>478</v>
      </c>
      <c r="I10" s="1548">
        <f>ROUND(H10/G10*100,2)</f>
        <v>23.77</v>
      </c>
      <c r="J10" s="984">
        <v>27</v>
      </c>
      <c r="K10" s="1547">
        <v>2315</v>
      </c>
      <c r="L10" s="984">
        <v>499</v>
      </c>
      <c r="M10" s="986">
        <f>ROUND(L10/K10*100,2)</f>
        <v>21.56</v>
      </c>
      <c r="N10" s="1547">
        <f t="shared" ref="N10:P11" si="0">SUM(B10,F10,J10)</f>
        <v>254</v>
      </c>
      <c r="O10" s="984">
        <f t="shared" si="0"/>
        <v>9246</v>
      </c>
      <c r="P10" s="1547">
        <f t="shared" si="0"/>
        <v>2544</v>
      </c>
      <c r="Q10" s="986">
        <f>ROUND(P10/O10*100,2)</f>
        <v>27.51</v>
      </c>
      <c r="R10" s="1546">
        <f>ROUND('2.2'!$C$39/1000/'7.2,7.3'!N10,0)</f>
        <v>20</v>
      </c>
      <c r="U10" s="7"/>
      <c r="AE10" s="7"/>
      <c r="AF10" s="7"/>
    </row>
    <row r="11" spans="1:32" ht="15.75" customHeight="1">
      <c r="A11" s="948">
        <v>2014</v>
      </c>
      <c r="B11" s="987">
        <v>198</v>
      </c>
      <c r="C11" s="957">
        <v>5754</v>
      </c>
      <c r="D11" s="987">
        <v>1708</v>
      </c>
      <c r="E11" s="988">
        <f>ROUND(D11/C11*100,2)</f>
        <v>29.68</v>
      </c>
      <c r="F11" s="987">
        <v>52</v>
      </c>
      <c r="G11" s="964">
        <v>2397</v>
      </c>
      <c r="H11" s="987">
        <v>683</v>
      </c>
      <c r="I11" s="988">
        <f>ROUND(H11/G11*100,2)</f>
        <v>28.49</v>
      </c>
      <c r="J11" s="987">
        <v>28</v>
      </c>
      <c r="K11" s="964">
        <v>2466</v>
      </c>
      <c r="L11" s="987">
        <v>560</v>
      </c>
      <c r="M11" s="988">
        <f>ROUND(L11/K11*100,2)</f>
        <v>22.71</v>
      </c>
      <c r="N11" s="1682">
        <f t="shared" si="0"/>
        <v>278</v>
      </c>
      <c r="O11" s="984">
        <f t="shared" si="0"/>
        <v>10617</v>
      </c>
      <c r="P11" s="1682">
        <f t="shared" si="0"/>
        <v>2951</v>
      </c>
      <c r="Q11" s="986">
        <f>ROUND(P11/O11*100,2)</f>
        <v>27.8</v>
      </c>
      <c r="R11" s="1683">
        <f>ROUND('2.2'!$C$39/1000/'7.2,7.3'!N11,0)</f>
        <v>18</v>
      </c>
      <c r="U11" s="7"/>
      <c r="V11" s="7"/>
      <c r="W11" s="7"/>
      <c r="X11" s="7"/>
      <c r="Y11" s="7"/>
      <c r="Z11" s="7"/>
      <c r="AA11" s="7"/>
      <c r="AB11" s="7"/>
      <c r="AE11" s="7"/>
      <c r="AF11" s="7"/>
    </row>
    <row r="12" spans="1:32" ht="12.75" customHeight="1">
      <c r="A12" s="248" t="s">
        <v>1485</v>
      </c>
      <c r="B12" s="1116" t="s">
        <v>178</v>
      </c>
      <c r="C12" s="1117"/>
      <c r="D12" s="8"/>
      <c r="E12" s="8"/>
      <c r="F12" s="8"/>
      <c r="G12" s="8"/>
      <c r="H12" s="8"/>
      <c r="I12" s="8"/>
      <c r="M12" s="1434" t="s">
        <v>1557</v>
      </c>
      <c r="N12" s="2172" t="s">
        <v>703</v>
      </c>
      <c r="O12" s="2172"/>
      <c r="P12" s="2172"/>
      <c r="Q12" s="2172"/>
      <c r="R12" s="2172"/>
      <c r="U12" s="7"/>
      <c r="AE12" s="7"/>
      <c r="AF12" s="7"/>
    </row>
    <row r="13" spans="1:32" ht="12.75" customHeight="1">
      <c r="B13" s="1116" t="s">
        <v>179</v>
      </c>
      <c r="C13" s="1116"/>
      <c r="D13" s="236"/>
      <c r="J13" s="8"/>
      <c r="K13" s="8"/>
      <c r="L13" s="8"/>
      <c r="M13" s="1105"/>
      <c r="N13" s="2173"/>
      <c r="O13" s="2173"/>
      <c r="P13" s="2173"/>
      <c r="Q13" s="2173"/>
      <c r="R13" s="2173"/>
      <c r="U13" s="7"/>
      <c r="AE13" s="7"/>
      <c r="AF13" s="7"/>
    </row>
    <row r="14" spans="1:32">
      <c r="A14" s="1116"/>
      <c r="B14" s="1116" t="s">
        <v>181</v>
      </c>
      <c r="C14" s="1116"/>
      <c r="D14" s="236"/>
      <c r="U14" s="7"/>
      <c r="V14" s="7"/>
    </row>
    <row r="15" spans="1:32">
      <c r="A15" s="1116"/>
      <c r="B15" s="1116" t="s">
        <v>319</v>
      </c>
      <c r="C15" s="1116"/>
      <c r="D15" s="236"/>
    </row>
    <row r="16" spans="1:32" ht="13.5">
      <c r="A16" s="1301" t="s">
        <v>631</v>
      </c>
      <c r="C16" s="1116"/>
      <c r="D16" s="236"/>
    </row>
    <row r="17" spans="1:18">
      <c r="A17" s="1109" t="s">
        <v>582</v>
      </c>
      <c r="C17" s="778"/>
      <c r="D17" s="778"/>
      <c r="E17" s="778"/>
      <c r="F17" s="778"/>
      <c r="G17" s="778"/>
      <c r="I17" s="778"/>
      <c r="J17" s="778"/>
    </row>
    <row r="18" spans="1:18">
      <c r="A18" s="1109"/>
      <c r="C18" s="778"/>
      <c r="D18" s="778"/>
      <c r="E18" s="778"/>
      <c r="F18" s="778"/>
      <c r="G18" s="778"/>
      <c r="I18" s="778"/>
      <c r="J18" s="778"/>
    </row>
    <row r="19" spans="1:18">
      <c r="A19" s="1825" t="s">
        <v>293</v>
      </c>
      <c r="B19" s="1825"/>
      <c r="C19" s="1825"/>
      <c r="D19" s="1825"/>
      <c r="E19" s="1825"/>
      <c r="F19" s="1825"/>
      <c r="G19" s="1825"/>
      <c r="H19" s="1825"/>
      <c r="I19" s="1825"/>
      <c r="J19" s="1825"/>
      <c r="K19" s="1825"/>
      <c r="L19" s="1825"/>
      <c r="M19" s="1825"/>
      <c r="N19" s="1825"/>
      <c r="O19" s="1825"/>
      <c r="P19" s="1825"/>
      <c r="Q19" s="1825"/>
      <c r="R19" s="1825"/>
    </row>
    <row r="20" spans="1:18" ht="16.5">
      <c r="A20" s="1853" t="str">
        <f>CONCATENATE("Progress of L.I.C. in the district of ",District!A1)</f>
        <v>Progress of L.I.C. in the district of Purba Medinipur</v>
      </c>
      <c r="B20" s="1853"/>
      <c r="C20" s="1853"/>
      <c r="D20" s="1853"/>
      <c r="E20" s="1853"/>
      <c r="F20" s="1853"/>
      <c r="G20" s="1853"/>
      <c r="H20" s="1853"/>
      <c r="I20" s="1853"/>
      <c r="J20" s="1853"/>
      <c r="K20" s="1853"/>
      <c r="L20" s="1853"/>
      <c r="M20" s="1853"/>
      <c r="N20" s="1853"/>
      <c r="O20" s="1853"/>
      <c r="P20" s="1853"/>
      <c r="Q20" s="1853"/>
      <c r="R20" s="1853"/>
    </row>
    <row r="21" spans="1:18" ht="16.5" customHeight="1">
      <c r="A21" s="1866" t="s">
        <v>899</v>
      </c>
      <c r="B21" s="1906"/>
      <c r="C21" s="1829" t="s">
        <v>182</v>
      </c>
      <c r="D21" s="1827"/>
      <c r="E21" s="1827"/>
      <c r="F21" s="1827"/>
      <c r="G21" s="1828"/>
      <c r="H21" s="1829" t="s">
        <v>854</v>
      </c>
      <c r="I21" s="1827"/>
      <c r="J21" s="1827"/>
      <c r="K21" s="1827"/>
      <c r="L21" s="1827"/>
      <c r="M21" s="1828"/>
      <c r="N21" s="1827" t="s">
        <v>183</v>
      </c>
      <c r="O21" s="1827"/>
      <c r="P21" s="1827"/>
      <c r="Q21" s="1827"/>
      <c r="R21" s="1828"/>
    </row>
    <row r="22" spans="1:18" ht="27" customHeight="1">
      <c r="A22" s="1859"/>
      <c r="B22" s="2089"/>
      <c r="C22" s="1966" t="s">
        <v>1151</v>
      </c>
      <c r="D22" s="2185"/>
      <c r="E22" s="2187" t="s">
        <v>853</v>
      </c>
      <c r="F22" s="2187"/>
      <c r="G22" s="2188"/>
      <c r="H22" s="1966" t="s">
        <v>185</v>
      </c>
      <c r="I22" s="2186"/>
      <c r="J22" s="1967"/>
      <c r="K22" s="2187" t="s">
        <v>1152</v>
      </c>
      <c r="L22" s="2187"/>
      <c r="M22" s="2188"/>
      <c r="N22" s="1966" t="s">
        <v>1576</v>
      </c>
      <c r="O22" s="2184"/>
      <c r="P22" s="2185"/>
      <c r="Q22" s="2187" t="s">
        <v>57</v>
      </c>
      <c r="R22" s="2188"/>
    </row>
    <row r="23" spans="1:18" ht="18" customHeight="1">
      <c r="A23" s="2094" t="s">
        <v>955</v>
      </c>
      <c r="B23" s="2099"/>
      <c r="C23" s="2094" t="s">
        <v>956</v>
      </c>
      <c r="D23" s="2099"/>
      <c r="E23" s="2095" t="s">
        <v>957</v>
      </c>
      <c r="F23" s="2095"/>
      <c r="G23" s="2099"/>
      <c r="H23" s="2094" t="s">
        <v>958</v>
      </c>
      <c r="I23" s="2095"/>
      <c r="J23" s="2099"/>
      <c r="K23" s="2095" t="s">
        <v>959</v>
      </c>
      <c r="L23" s="2095"/>
      <c r="M23" s="2099"/>
      <c r="N23" s="2094" t="s">
        <v>961</v>
      </c>
      <c r="O23" s="2095"/>
      <c r="P23" s="2099"/>
      <c r="Q23" s="2095" t="s">
        <v>962</v>
      </c>
      <c r="R23" s="2099"/>
    </row>
    <row r="24" spans="1:18" ht="15.75" customHeight="1">
      <c r="A24" s="1845" t="s">
        <v>1356</v>
      </c>
      <c r="B24" s="1846"/>
      <c r="C24" s="2193">
        <v>220463</v>
      </c>
      <c r="D24" s="2194"/>
      <c r="E24" s="2193">
        <v>1914.03</v>
      </c>
      <c r="F24" s="2200"/>
      <c r="G24" s="2194"/>
      <c r="H24" s="2193">
        <v>1977500</v>
      </c>
      <c r="I24" s="2200"/>
      <c r="J24" s="2194"/>
      <c r="K24" s="2193">
        <v>4449700</v>
      </c>
      <c r="L24" s="2200"/>
      <c r="M24" s="2194"/>
      <c r="N24" s="2193">
        <v>35602</v>
      </c>
      <c r="O24" s="2200"/>
      <c r="P24" s="2194"/>
      <c r="Q24" s="2198">
        <v>913200</v>
      </c>
      <c r="R24" s="2199"/>
    </row>
    <row r="25" spans="1:18" ht="15.75" customHeight="1">
      <c r="A25" s="1847" t="s">
        <v>306</v>
      </c>
      <c r="B25" s="1848"/>
      <c r="C25" s="2193">
        <v>199247</v>
      </c>
      <c r="D25" s="2194"/>
      <c r="E25" s="2195">
        <v>2045.3</v>
      </c>
      <c r="F25" s="2196"/>
      <c r="G25" s="2197"/>
      <c r="H25" s="2193">
        <v>1098800</v>
      </c>
      <c r="I25" s="2200"/>
      <c r="J25" s="2194"/>
      <c r="K25" s="2193">
        <v>4834700</v>
      </c>
      <c r="L25" s="2200"/>
      <c r="M25" s="2194"/>
      <c r="N25" s="2193">
        <v>18253</v>
      </c>
      <c r="O25" s="2200"/>
      <c r="P25" s="2194"/>
      <c r="Q25" s="2198">
        <v>1062200</v>
      </c>
      <c r="R25" s="2199"/>
    </row>
    <row r="26" spans="1:18" ht="15.75" customHeight="1">
      <c r="A26" s="1847" t="s">
        <v>1357</v>
      </c>
      <c r="B26" s="2137"/>
      <c r="C26" s="2193">
        <v>170898</v>
      </c>
      <c r="D26" s="2194"/>
      <c r="E26" s="2196">
        <v>1919.27</v>
      </c>
      <c r="F26" s="2196"/>
      <c r="G26" s="2196"/>
      <c r="H26" s="2193">
        <v>1112300</v>
      </c>
      <c r="I26" s="2200"/>
      <c r="J26" s="2194"/>
      <c r="K26" s="2200">
        <v>4568700</v>
      </c>
      <c r="L26" s="2200"/>
      <c r="M26" s="2200"/>
      <c r="N26" s="2193">
        <v>18989</v>
      </c>
      <c r="O26" s="2200"/>
      <c r="P26" s="2194"/>
      <c r="Q26" s="2201">
        <v>444300</v>
      </c>
      <c r="R26" s="2199"/>
    </row>
    <row r="27" spans="1:18" ht="15.75" customHeight="1">
      <c r="A27" s="1847" t="s">
        <v>628</v>
      </c>
      <c r="B27" s="1848"/>
      <c r="C27" s="2193">
        <v>176017</v>
      </c>
      <c r="D27" s="2194"/>
      <c r="E27" s="2195">
        <v>2108.27</v>
      </c>
      <c r="F27" s="2196"/>
      <c r="G27" s="2197"/>
      <c r="H27" s="2193">
        <v>1303300</v>
      </c>
      <c r="I27" s="2200"/>
      <c r="J27" s="2194"/>
      <c r="K27" s="2193">
        <v>5368200</v>
      </c>
      <c r="L27" s="2200"/>
      <c r="M27" s="2194"/>
      <c r="N27" s="2193">
        <v>21285</v>
      </c>
      <c r="O27" s="2200"/>
      <c r="P27" s="2194"/>
      <c r="Q27" s="2198">
        <v>537089</v>
      </c>
      <c r="R27" s="2199"/>
    </row>
    <row r="28" spans="1:18" ht="15.75" customHeight="1">
      <c r="A28" s="1849" t="s">
        <v>1639</v>
      </c>
      <c r="B28" s="2136"/>
      <c r="C28" s="2179">
        <v>175174</v>
      </c>
      <c r="D28" s="2181"/>
      <c r="E28" s="2178">
        <v>2048.17</v>
      </c>
      <c r="F28" s="2178"/>
      <c r="G28" s="2178"/>
      <c r="H28" s="2179">
        <v>2208200</v>
      </c>
      <c r="I28" s="2180"/>
      <c r="J28" s="2181"/>
      <c r="K28" s="2180">
        <v>4586700</v>
      </c>
      <c r="L28" s="2180"/>
      <c r="M28" s="2180"/>
      <c r="N28" s="2179">
        <v>22900</v>
      </c>
      <c r="O28" s="2180"/>
      <c r="P28" s="2181"/>
      <c r="Q28" s="2182">
        <v>610281</v>
      </c>
      <c r="R28" s="2183"/>
    </row>
    <row r="29" spans="1:18" ht="13.5" customHeight="1">
      <c r="A29" s="1230"/>
      <c r="B29" s="1230"/>
      <c r="C29" s="83"/>
      <c r="D29" s="83"/>
      <c r="E29" s="83"/>
      <c r="F29" s="83"/>
      <c r="G29" s="83"/>
      <c r="H29" s="1"/>
      <c r="I29" s="1"/>
      <c r="J29" s="1"/>
      <c r="K29" s="1"/>
      <c r="L29" s="1"/>
      <c r="M29" s="1435" t="s">
        <v>632</v>
      </c>
      <c r="N29" s="1112" t="s">
        <v>618</v>
      </c>
      <c r="O29" s="1113"/>
      <c r="P29" s="334"/>
      <c r="Q29" s="334"/>
      <c r="R29" s="334"/>
    </row>
    <row r="30" spans="1:18">
      <c r="M30" s="1057"/>
      <c r="N30" s="1114" t="s">
        <v>619</v>
      </c>
      <c r="O30" s="1115"/>
      <c r="P30" s="335"/>
      <c r="Q30" s="335"/>
      <c r="R30" s="335"/>
    </row>
  </sheetData>
  <mergeCells count="63">
    <mergeCell ref="N27:P27"/>
    <mergeCell ref="Q27:R27"/>
    <mergeCell ref="A27:B27"/>
    <mergeCell ref="C27:D27"/>
    <mergeCell ref="E27:G27"/>
    <mergeCell ref="H27:J27"/>
    <mergeCell ref="K27:M27"/>
    <mergeCell ref="A28:B28"/>
    <mergeCell ref="C28:D28"/>
    <mergeCell ref="A24:B24"/>
    <mergeCell ref="C24:D24"/>
    <mergeCell ref="Q26:R26"/>
    <mergeCell ref="N26:P26"/>
    <mergeCell ref="A25:B25"/>
    <mergeCell ref="Q25:R25"/>
    <mergeCell ref="N25:P25"/>
    <mergeCell ref="H25:J25"/>
    <mergeCell ref="K25:M25"/>
    <mergeCell ref="A26:B26"/>
    <mergeCell ref="K26:M26"/>
    <mergeCell ref="H26:J26"/>
    <mergeCell ref="E26:G26"/>
    <mergeCell ref="C26:D26"/>
    <mergeCell ref="C25:D25"/>
    <mergeCell ref="E25:G25"/>
    <mergeCell ref="Q24:R24"/>
    <mergeCell ref="E24:G24"/>
    <mergeCell ref="K24:M24"/>
    <mergeCell ref="N24:P24"/>
    <mergeCell ref="H24:J24"/>
    <mergeCell ref="N23:P23"/>
    <mergeCell ref="H23:J23"/>
    <mergeCell ref="A23:B23"/>
    <mergeCell ref="C23:D23"/>
    <mergeCell ref="E23:G23"/>
    <mergeCell ref="E22:G22"/>
    <mergeCell ref="K22:M22"/>
    <mergeCell ref="A21:B22"/>
    <mergeCell ref="C22:D22"/>
    <mergeCell ref="A1:R1"/>
    <mergeCell ref="A2:R2"/>
    <mergeCell ref="A4:A5"/>
    <mergeCell ref="R4:R5"/>
    <mergeCell ref="B4:E4"/>
    <mergeCell ref="F4:I4"/>
    <mergeCell ref="J4:M4"/>
    <mergeCell ref="N4:Q4"/>
    <mergeCell ref="E28:G28"/>
    <mergeCell ref="H28:J28"/>
    <mergeCell ref="N12:R13"/>
    <mergeCell ref="K28:M28"/>
    <mergeCell ref="N28:P28"/>
    <mergeCell ref="Q28:R28"/>
    <mergeCell ref="H21:M21"/>
    <mergeCell ref="Q23:R23"/>
    <mergeCell ref="K23:M23"/>
    <mergeCell ref="N22:P22"/>
    <mergeCell ref="H22:J22"/>
    <mergeCell ref="A19:R19"/>
    <mergeCell ref="Q22:R22"/>
    <mergeCell ref="A20:R20"/>
    <mergeCell ref="N21:R21"/>
    <mergeCell ref="C21:G21"/>
  </mergeCells>
  <phoneticPr fontId="0" type="noConversion"/>
  <printOptions horizontalCentered="1"/>
  <pageMargins left="0.1" right="0.1" top="1.1100000000000001" bottom="0.1" header="0.49" footer="0.16"/>
  <pageSetup paperSize="9" orientation="landscape" blackAndWhite="1" r:id="rId1"/>
  <headerFooter alignWithMargins="0"/>
</worksheet>
</file>

<file path=xl/worksheets/sheet56.xml><?xml version="1.0" encoding="utf-8"?>
<worksheet xmlns="http://schemas.openxmlformats.org/spreadsheetml/2006/main" xmlns:r="http://schemas.openxmlformats.org/officeDocument/2006/relationships">
  <dimension ref="A1:O34"/>
  <sheetViews>
    <sheetView workbookViewId="0">
      <selection activeCell="I3" sqref="I3"/>
    </sheetView>
  </sheetViews>
  <sheetFormatPr defaultRowHeight="12.75"/>
  <cols>
    <col min="1" max="1" width="27.7109375" customWidth="1"/>
    <col min="2" max="5" width="18.7109375" customWidth="1"/>
  </cols>
  <sheetData>
    <row r="1" spans="1:15" ht="14.25" customHeight="1">
      <c r="A1" s="1973" t="s">
        <v>733</v>
      </c>
      <c r="B1" s="1973"/>
      <c r="C1" s="1973"/>
      <c r="D1" s="1973"/>
      <c r="E1" s="1973"/>
    </row>
    <row r="2" spans="1:15" ht="44.25" customHeight="1">
      <c r="A2" s="2202" t="s">
        <v>1245</v>
      </c>
      <c r="B2" s="2202"/>
      <c r="C2" s="2202"/>
      <c r="D2" s="2202"/>
      <c r="E2" s="2202"/>
      <c r="F2" s="7"/>
    </row>
    <row r="3" spans="1:15" s="296" customFormat="1" ht="12" customHeight="1">
      <c r="B3" s="1009"/>
      <c r="E3" s="1010" t="s">
        <v>1001</v>
      </c>
    </row>
    <row r="4" spans="1:15" ht="22.5" customHeight="1">
      <c r="A4" s="2203" t="s">
        <v>899</v>
      </c>
      <c r="B4" s="2206" t="s">
        <v>900</v>
      </c>
      <c r="C4" s="2206"/>
      <c r="D4" s="2207" t="s">
        <v>187</v>
      </c>
      <c r="E4" s="2207"/>
      <c r="J4" s="7"/>
      <c r="K4" s="7"/>
      <c r="L4" s="7"/>
      <c r="M4" s="7"/>
      <c r="N4" s="7"/>
      <c r="O4" s="7"/>
    </row>
    <row r="5" spans="1:15" ht="22.5" customHeight="1">
      <c r="A5" s="2204"/>
      <c r="B5" s="591" t="s">
        <v>1294</v>
      </c>
      <c r="C5" s="591" t="s">
        <v>1295</v>
      </c>
      <c r="D5" s="591" t="s">
        <v>1294</v>
      </c>
      <c r="E5" s="590" t="s">
        <v>1295</v>
      </c>
      <c r="J5" s="7"/>
      <c r="K5" s="7"/>
      <c r="L5" s="7"/>
      <c r="M5" s="7"/>
      <c r="N5" s="7"/>
      <c r="O5" s="7"/>
    </row>
    <row r="6" spans="1:15" ht="18.75" customHeight="1">
      <c r="A6" s="1676" t="s">
        <v>955</v>
      </c>
      <c r="B6" s="1012" t="s">
        <v>956</v>
      </c>
      <c r="C6" s="1012" t="s">
        <v>957</v>
      </c>
      <c r="D6" s="1012" t="s">
        <v>958</v>
      </c>
      <c r="E6" s="493" t="s">
        <v>959</v>
      </c>
      <c r="J6" s="7"/>
      <c r="K6" s="7"/>
      <c r="L6" s="7"/>
      <c r="M6" s="7"/>
      <c r="N6" s="7"/>
      <c r="O6" s="7"/>
    </row>
    <row r="7" spans="1:15" ht="42" customHeight="1">
      <c r="A7" s="1687" t="s">
        <v>1356</v>
      </c>
      <c r="B7" s="1697">
        <v>390</v>
      </c>
      <c r="C7" s="1013">
        <v>2470</v>
      </c>
      <c r="D7" s="1697">
        <v>3541</v>
      </c>
      <c r="E7" s="1696">
        <v>17714</v>
      </c>
      <c r="J7" s="7"/>
      <c r="K7" s="7"/>
      <c r="L7" s="7"/>
      <c r="M7" s="7"/>
      <c r="N7" s="7"/>
      <c r="O7" s="7"/>
    </row>
    <row r="8" spans="1:15" ht="42" customHeight="1">
      <c r="A8" s="1686" t="s">
        <v>306</v>
      </c>
      <c r="B8" s="1697">
        <v>359</v>
      </c>
      <c r="C8" s="1013">
        <v>2829</v>
      </c>
      <c r="D8" s="1697">
        <v>3169</v>
      </c>
      <c r="E8" s="1013">
        <v>20883</v>
      </c>
      <c r="J8" s="7"/>
      <c r="K8" s="7"/>
      <c r="L8" s="7"/>
      <c r="M8" s="7"/>
      <c r="N8" s="7"/>
      <c r="O8" s="7"/>
    </row>
    <row r="9" spans="1:15" ht="42" customHeight="1">
      <c r="A9" s="1686" t="s">
        <v>1357</v>
      </c>
      <c r="B9" s="1697">
        <v>530</v>
      </c>
      <c r="C9" s="1013">
        <v>3359</v>
      </c>
      <c r="D9" s="1697">
        <v>4940</v>
      </c>
      <c r="E9" s="1013">
        <v>25823</v>
      </c>
      <c r="J9" s="7"/>
      <c r="K9" s="7"/>
      <c r="L9" s="7"/>
      <c r="M9" s="7"/>
      <c r="N9" s="7"/>
      <c r="O9" s="7"/>
    </row>
    <row r="10" spans="1:15" ht="42" customHeight="1">
      <c r="A10" s="1686" t="s">
        <v>628</v>
      </c>
      <c r="B10" s="1697">
        <v>296</v>
      </c>
      <c r="C10" s="1013">
        <v>3655</v>
      </c>
      <c r="D10" s="1697">
        <v>2588</v>
      </c>
      <c r="E10" s="1013">
        <v>28411</v>
      </c>
      <c r="J10" s="7"/>
      <c r="K10" s="7"/>
      <c r="L10" s="7"/>
      <c r="M10" s="7"/>
      <c r="N10" s="7"/>
      <c r="O10" s="7"/>
    </row>
    <row r="11" spans="1:15" ht="42" customHeight="1">
      <c r="A11" s="1685" t="s">
        <v>1639</v>
      </c>
      <c r="B11" s="111">
        <v>603</v>
      </c>
      <c r="C11" s="1197">
        <v>4258</v>
      </c>
      <c r="D11" s="111">
        <v>4475</v>
      </c>
      <c r="E11" s="1197">
        <v>32886</v>
      </c>
      <c r="J11" s="7"/>
      <c r="K11" s="7"/>
      <c r="L11" s="7"/>
      <c r="M11" s="7"/>
      <c r="N11" s="7"/>
      <c r="O11" s="7"/>
    </row>
    <row r="12" spans="1:15" ht="12.75" customHeight="1">
      <c r="A12" s="1239"/>
      <c r="B12" s="1117"/>
      <c r="C12" s="1014" t="s">
        <v>1171</v>
      </c>
      <c r="D12" s="2205" t="s">
        <v>1296</v>
      </c>
      <c r="E12" s="2205"/>
    </row>
    <row r="13" spans="1:15">
      <c r="A13" s="1240"/>
      <c r="B13" s="1040"/>
      <c r="C13" s="1015"/>
      <c r="D13" s="2205"/>
      <c r="E13" s="2205"/>
    </row>
    <row r="14" spans="1:15" ht="24" customHeight="1">
      <c r="A14" s="1240"/>
      <c r="B14" s="1040"/>
      <c r="C14" s="1014"/>
    </row>
    <row r="15" spans="1:15" ht="17.25" customHeight="1">
      <c r="A15" s="1240"/>
      <c r="B15" s="1040"/>
      <c r="C15" s="1015"/>
    </row>
    <row r="16" spans="1:15">
      <c r="F16" s="46"/>
    </row>
    <row r="17" spans="1:6" ht="15" customHeight="1">
      <c r="F17" s="46"/>
    </row>
    <row r="18" spans="1:6">
      <c r="F18" s="46"/>
    </row>
    <row r="19" spans="1:6" ht="14.25" customHeight="1">
      <c r="F19" s="46"/>
    </row>
    <row r="20" spans="1:6" ht="12.75" customHeight="1">
      <c r="F20" s="428"/>
    </row>
    <row r="21" spans="1:6" ht="16.5" customHeight="1">
      <c r="F21" s="7"/>
    </row>
    <row r="22" spans="1:6" ht="16.5" customHeight="1"/>
    <row r="23" spans="1:6" ht="16.5" customHeight="1"/>
    <row r="24" spans="1:6" ht="16.5" customHeight="1"/>
    <row r="25" spans="1:6" ht="16.5" customHeight="1"/>
    <row r="28" spans="1:6">
      <c r="A28" s="128"/>
      <c r="B28" s="128"/>
      <c r="C28" s="128"/>
      <c r="D28" s="128"/>
      <c r="E28" s="128"/>
    </row>
    <row r="30" spans="1:6">
      <c r="A30" s="128"/>
      <c r="B30" s="128"/>
      <c r="C30" s="128"/>
      <c r="D30" s="128"/>
      <c r="E30" s="128"/>
    </row>
    <row r="31" spans="1:6">
      <c r="A31" s="128"/>
      <c r="B31" s="128"/>
      <c r="C31" s="128"/>
      <c r="D31" s="128"/>
      <c r="E31" s="128"/>
    </row>
    <row r="32" spans="1:6">
      <c r="A32" s="128"/>
      <c r="B32" s="128"/>
      <c r="C32" s="128"/>
      <c r="D32" s="128"/>
      <c r="E32" s="128"/>
    </row>
    <row r="33" spans="1:5">
      <c r="A33" s="128"/>
      <c r="B33" s="128"/>
      <c r="C33" s="128"/>
      <c r="D33" s="128"/>
      <c r="E33" s="128"/>
    </row>
    <row r="34" spans="1:5">
      <c r="A34" s="128"/>
      <c r="B34" s="128"/>
      <c r="C34" s="128"/>
      <c r="D34" s="128"/>
      <c r="E34" s="128"/>
    </row>
  </sheetData>
  <mergeCells count="6">
    <mergeCell ref="A1:E1"/>
    <mergeCell ref="A2:E2"/>
    <mergeCell ref="A4:A5"/>
    <mergeCell ref="D12:E13"/>
    <mergeCell ref="B4:C4"/>
    <mergeCell ref="D4:E4"/>
  </mergeCells>
  <phoneticPr fontId="0" type="noConversion"/>
  <printOptions horizontalCentered="1"/>
  <pageMargins left="0.28999999999999998" right="0.1" top="1.01" bottom="0.1" header="0.57999999999999996" footer="0.1"/>
  <pageSetup paperSize="9" orientation="landscape" blackAndWhite="1" r:id="rId1"/>
  <headerFooter alignWithMargins="0"/>
</worksheet>
</file>

<file path=xl/worksheets/sheet57.xml><?xml version="1.0" encoding="utf-8"?>
<worksheet xmlns="http://schemas.openxmlformats.org/spreadsheetml/2006/main" xmlns:r="http://schemas.openxmlformats.org/officeDocument/2006/relationships">
  <dimension ref="A1:G17"/>
  <sheetViews>
    <sheetView workbookViewId="0">
      <selection activeCell="I15" sqref="I15"/>
    </sheetView>
  </sheetViews>
  <sheetFormatPr defaultRowHeight="12.75"/>
  <cols>
    <col min="1" max="1" width="26.140625" customWidth="1"/>
    <col min="2" max="2" width="10.7109375" customWidth="1"/>
    <col min="3" max="6" width="13" customWidth="1"/>
  </cols>
  <sheetData>
    <row r="1" spans="1:7" ht="12" customHeight="1">
      <c r="A1" s="1825" t="s">
        <v>733</v>
      </c>
      <c r="B1" s="1825"/>
      <c r="C1" s="1825"/>
      <c r="D1" s="1825"/>
      <c r="E1" s="1825"/>
      <c r="F1" s="1825"/>
      <c r="G1" s="428"/>
    </row>
    <row r="2" spans="1:7" ht="47.25" customHeight="1">
      <c r="A2" s="2078" t="s">
        <v>1577</v>
      </c>
      <c r="B2" s="2078"/>
      <c r="C2" s="2078"/>
      <c r="D2" s="2078"/>
      <c r="E2" s="2078"/>
      <c r="F2" s="2078"/>
      <c r="G2" s="496"/>
    </row>
    <row r="3" spans="1:7" ht="12" customHeight="1">
      <c r="B3" s="23"/>
      <c r="D3" s="37"/>
      <c r="F3" s="227" t="s">
        <v>1001</v>
      </c>
    </row>
    <row r="4" spans="1:7" ht="21.75" customHeight="1">
      <c r="A4" s="1929" t="s">
        <v>1352</v>
      </c>
      <c r="B4" s="1930"/>
      <c r="C4" s="1866" t="s">
        <v>900</v>
      </c>
      <c r="D4" s="1906"/>
      <c r="E4" s="2046" t="s">
        <v>187</v>
      </c>
      <c r="F4" s="1906"/>
      <c r="G4" s="413"/>
    </row>
    <row r="5" spans="1:7" ht="13.5" customHeight="1">
      <c r="A5" s="2121" t="s">
        <v>955</v>
      </c>
      <c r="B5" s="2126"/>
      <c r="C5" s="2121" t="s">
        <v>956</v>
      </c>
      <c r="D5" s="2122"/>
      <c r="E5" s="2126" t="s">
        <v>957</v>
      </c>
      <c r="F5" s="2122"/>
      <c r="G5" s="555"/>
    </row>
    <row r="6" spans="1:7" ht="14.1" customHeight="1">
      <c r="A6" s="2123">
        <v>2005</v>
      </c>
      <c r="B6" s="2228"/>
      <c r="C6" s="2229">
        <v>35652</v>
      </c>
      <c r="D6" s="2225"/>
      <c r="E6" s="2224">
        <v>178137</v>
      </c>
      <c r="F6" s="2225"/>
      <c r="G6" s="46"/>
    </row>
    <row r="7" spans="1:7" ht="14.1" customHeight="1">
      <c r="A7" s="1847">
        <v>2006</v>
      </c>
      <c r="B7" s="2137"/>
      <c r="C7" s="2220">
        <v>37440</v>
      </c>
      <c r="D7" s="2221"/>
      <c r="E7" s="2226">
        <v>187843</v>
      </c>
      <c r="F7" s="2221"/>
      <c r="G7" s="46"/>
    </row>
    <row r="8" spans="1:7" ht="14.1" customHeight="1">
      <c r="A8" s="1847" t="s">
        <v>176</v>
      </c>
      <c r="B8" s="2137"/>
      <c r="C8" s="2220">
        <v>38566</v>
      </c>
      <c r="D8" s="2221"/>
      <c r="E8" s="2226">
        <v>193183</v>
      </c>
      <c r="F8" s="2221"/>
      <c r="G8" s="46"/>
    </row>
    <row r="9" spans="1:7" ht="14.1" customHeight="1">
      <c r="A9" s="2218" t="s">
        <v>1183</v>
      </c>
      <c r="B9" s="2219"/>
      <c r="C9" s="2208">
        <v>248</v>
      </c>
      <c r="D9" s="2209"/>
      <c r="E9" s="2227">
        <v>1896</v>
      </c>
      <c r="F9" s="2209"/>
      <c r="G9" s="46"/>
    </row>
    <row r="10" spans="1:7" ht="14.1" customHeight="1">
      <c r="A10" s="1845">
        <v>2008</v>
      </c>
      <c r="B10" s="2125"/>
      <c r="C10" s="2220">
        <v>1653</v>
      </c>
      <c r="D10" s="2221"/>
      <c r="E10" s="2200">
        <v>10734</v>
      </c>
      <c r="F10" s="2194"/>
      <c r="G10" s="46"/>
    </row>
    <row r="11" spans="1:7" ht="14.1" customHeight="1">
      <c r="A11" s="2130">
        <v>2009</v>
      </c>
      <c r="B11" s="2131"/>
      <c r="C11" s="2222">
        <v>2080</v>
      </c>
      <c r="D11" s="2223"/>
      <c r="E11" s="2180">
        <v>14173</v>
      </c>
      <c r="F11" s="2181"/>
      <c r="G11" s="46"/>
    </row>
    <row r="12" spans="1:7">
      <c r="A12" s="2214" t="s">
        <v>511</v>
      </c>
      <c r="B12" s="2215"/>
      <c r="C12" s="2215"/>
      <c r="D12" s="327" t="s">
        <v>455</v>
      </c>
      <c r="E12" s="2210" t="s">
        <v>1026</v>
      </c>
      <c r="F12" s="2211"/>
    </row>
    <row r="13" spans="1:7" ht="13.5" customHeight="1">
      <c r="A13" s="2216"/>
      <c r="B13" s="2217"/>
      <c r="C13" s="2217"/>
      <c r="D13" s="562"/>
      <c r="E13" s="1816"/>
      <c r="F13" s="1816"/>
      <c r="G13" s="2"/>
    </row>
    <row r="14" spans="1:7" ht="13.5" customHeight="1">
      <c r="A14" s="2216"/>
      <c r="B14" s="2217"/>
      <c r="C14" s="2217"/>
      <c r="D14" s="888"/>
      <c r="E14" s="1816"/>
      <c r="F14" s="1816"/>
      <c r="G14" s="2"/>
    </row>
    <row r="15" spans="1:7" ht="13.5" customHeight="1">
      <c r="A15" s="2216"/>
      <c r="B15" s="2217"/>
      <c r="C15" s="2217"/>
      <c r="D15" s="559" t="s">
        <v>456</v>
      </c>
      <c r="E15" s="2212" t="s">
        <v>1341</v>
      </c>
      <c r="F15" s="2213"/>
      <c r="G15" s="2"/>
    </row>
    <row r="16" spans="1:7" ht="13.5" customHeight="1">
      <c r="A16" s="2216"/>
      <c r="B16" s="2217"/>
      <c r="C16" s="2217"/>
      <c r="E16" s="2213"/>
      <c r="F16" s="2213"/>
      <c r="G16" s="340"/>
    </row>
    <row r="17" spans="1:6" ht="10.5" customHeight="1">
      <c r="A17" s="2216"/>
      <c r="B17" s="2217"/>
      <c r="C17" s="2217"/>
      <c r="D17" s="725"/>
      <c r="E17" s="2213"/>
      <c r="F17" s="2213"/>
    </row>
  </sheetData>
  <mergeCells count="29">
    <mergeCell ref="E6:F6"/>
    <mergeCell ref="E7:F7"/>
    <mergeCell ref="E8:F8"/>
    <mergeCell ref="E9:F9"/>
    <mergeCell ref="A8:B8"/>
    <mergeCell ref="A6:B6"/>
    <mergeCell ref="A7:B7"/>
    <mergeCell ref="C6:D6"/>
    <mergeCell ref="C7:D7"/>
    <mergeCell ref="C8:D8"/>
    <mergeCell ref="A1:F1"/>
    <mergeCell ref="A2:F2"/>
    <mergeCell ref="E4:F4"/>
    <mergeCell ref="E5:F5"/>
    <mergeCell ref="A4:B4"/>
    <mergeCell ref="A5:B5"/>
    <mergeCell ref="C4:D4"/>
    <mergeCell ref="C5:D5"/>
    <mergeCell ref="E11:F11"/>
    <mergeCell ref="C9:D9"/>
    <mergeCell ref="E12:F14"/>
    <mergeCell ref="E15:F17"/>
    <mergeCell ref="A12:C17"/>
    <mergeCell ref="A9:B9"/>
    <mergeCell ref="A10:B10"/>
    <mergeCell ref="C10:D10"/>
    <mergeCell ref="E10:F10"/>
    <mergeCell ref="A11:B11"/>
    <mergeCell ref="C11:D11"/>
  </mergeCells>
  <phoneticPr fontId="0" type="noConversion"/>
  <printOptions horizontalCentered="1"/>
  <pageMargins left="0.1" right="0.1" top="0.55000000000000004" bottom="0.1" header="0.55000000000000004" footer="0.1"/>
  <pageSetup paperSize="9" orientation="portrait" blackAndWhite="1" horizontalDpi="4294967295" verticalDpi="144" r:id="rId1"/>
  <headerFooter alignWithMargins="0"/>
</worksheet>
</file>

<file path=xl/worksheets/sheet58.xml><?xml version="1.0" encoding="utf-8"?>
<worksheet xmlns="http://schemas.openxmlformats.org/spreadsheetml/2006/main" xmlns:r="http://schemas.openxmlformats.org/officeDocument/2006/relationships">
  <dimension ref="A1:F40"/>
  <sheetViews>
    <sheetView workbookViewId="0">
      <selection activeCell="J22" sqref="J22"/>
    </sheetView>
  </sheetViews>
  <sheetFormatPr defaultRowHeight="12.75"/>
  <cols>
    <col min="1" max="1" width="25.140625" style="128" customWidth="1"/>
    <col min="2" max="6" width="17.85546875" style="128" customWidth="1"/>
    <col min="7" max="16384" width="9.140625" style="128"/>
  </cols>
  <sheetData>
    <row r="1" spans="1:6" ht="12.75" customHeight="1">
      <c r="A1" s="1825" t="s">
        <v>812</v>
      </c>
      <c r="B1" s="1825"/>
      <c r="C1" s="1825"/>
      <c r="D1" s="1825"/>
      <c r="E1" s="1825"/>
      <c r="F1" s="1825"/>
    </row>
    <row r="2" spans="1:6" ht="16.5" customHeight="1">
      <c r="A2" s="1853" t="str">
        <f>CONCATENATE("  Mouzas Electrified in the district of ",District!A1)</f>
        <v xml:space="preserve">  Mouzas Electrified in the district of Purba Medinipur</v>
      </c>
      <c r="B2" s="1853"/>
      <c r="C2" s="1853"/>
      <c r="D2" s="1853"/>
      <c r="E2" s="1853"/>
      <c r="F2" s="1853"/>
    </row>
    <row r="3" spans="1:6" ht="13.5" customHeight="1">
      <c r="A3" s="150"/>
      <c r="B3" s="150"/>
      <c r="C3" s="150"/>
      <c r="D3" s="150"/>
      <c r="E3" s="150"/>
      <c r="F3" s="485" t="s">
        <v>1001</v>
      </c>
    </row>
    <row r="4" spans="1:6" ht="15" customHeight="1">
      <c r="A4" s="1833" t="s">
        <v>378</v>
      </c>
      <c r="B4" s="2111" t="s">
        <v>437</v>
      </c>
      <c r="C4" s="2112"/>
      <c r="D4" s="2112"/>
      <c r="E4" s="2112"/>
      <c r="F4" s="2113"/>
    </row>
    <row r="5" spans="1:6" ht="16.5" customHeight="1">
      <c r="A5" s="1834"/>
      <c r="B5" s="456">
        <v>2010</v>
      </c>
      <c r="C5" s="456">
        <v>2011</v>
      </c>
      <c r="D5" s="456">
        <v>2012</v>
      </c>
      <c r="E5" s="456">
        <v>2013</v>
      </c>
      <c r="F5" s="456">
        <v>2014</v>
      </c>
    </row>
    <row r="6" spans="1:6" ht="15" customHeight="1">
      <c r="A6" s="134" t="s">
        <v>955</v>
      </c>
      <c r="B6" s="134" t="s">
        <v>956</v>
      </c>
      <c r="C6" s="134" t="s">
        <v>957</v>
      </c>
      <c r="D6" s="134" t="s">
        <v>958</v>
      </c>
      <c r="E6" s="136" t="s">
        <v>959</v>
      </c>
      <c r="F6" s="251" t="s">
        <v>961</v>
      </c>
    </row>
    <row r="7" spans="1:6" ht="13.5" customHeight="1">
      <c r="A7" s="1168" t="s">
        <v>1273</v>
      </c>
      <c r="B7" s="1169">
        <f>SUM(B8:B14)</f>
        <v>802</v>
      </c>
      <c r="C7" s="560">
        <f>SUM(C8:C14)</f>
        <v>805</v>
      </c>
      <c r="D7" s="560">
        <f>SUM(D8:D14)</f>
        <v>843</v>
      </c>
      <c r="E7" s="560">
        <f>SUM(E8:E14)</f>
        <v>843</v>
      </c>
      <c r="F7" s="560">
        <f>SUM(F8:F14)</f>
        <v>843</v>
      </c>
    </row>
    <row r="8" spans="1:6" ht="13.5" customHeight="1">
      <c r="A8" s="285" t="s">
        <v>200</v>
      </c>
      <c r="B8" s="1556">
        <v>106</v>
      </c>
      <c r="C8" s="1552">
        <v>106</v>
      </c>
      <c r="D8" s="1552">
        <v>107</v>
      </c>
      <c r="E8" s="1552">
        <v>107</v>
      </c>
      <c r="F8" s="102">
        <v>107</v>
      </c>
    </row>
    <row r="9" spans="1:6" ht="13.5" customHeight="1">
      <c r="A9" s="285" t="s">
        <v>1386</v>
      </c>
      <c r="B9" s="1556">
        <v>81</v>
      </c>
      <c r="C9" s="1552">
        <v>81</v>
      </c>
      <c r="D9" s="1552">
        <v>82</v>
      </c>
      <c r="E9" s="1552">
        <v>82</v>
      </c>
      <c r="F9" s="102">
        <v>82</v>
      </c>
    </row>
    <row r="10" spans="1:6" ht="13.5" customHeight="1">
      <c r="A10" s="285" t="s">
        <v>1388</v>
      </c>
      <c r="B10" s="1556">
        <v>236</v>
      </c>
      <c r="C10" s="1552">
        <v>237</v>
      </c>
      <c r="D10" s="1552">
        <v>244</v>
      </c>
      <c r="E10" s="1552">
        <v>244</v>
      </c>
      <c r="F10" s="102">
        <v>244</v>
      </c>
    </row>
    <row r="11" spans="1:6" ht="13.5" customHeight="1">
      <c r="A11" s="285" t="s">
        <v>1568</v>
      </c>
      <c r="B11" s="1556">
        <v>101</v>
      </c>
      <c r="C11" s="1552">
        <v>102</v>
      </c>
      <c r="D11" s="1552">
        <v>112</v>
      </c>
      <c r="E11" s="1552">
        <v>112</v>
      </c>
      <c r="F11" s="102">
        <v>112</v>
      </c>
    </row>
    <row r="12" spans="1:6" ht="13.5" customHeight="1">
      <c r="A12" s="285" t="s">
        <v>1390</v>
      </c>
      <c r="B12" s="1556">
        <v>85</v>
      </c>
      <c r="C12" s="1552">
        <v>85</v>
      </c>
      <c r="D12" s="1552">
        <v>85</v>
      </c>
      <c r="E12" s="1552">
        <v>85</v>
      </c>
      <c r="F12" s="102">
        <v>85</v>
      </c>
    </row>
    <row r="13" spans="1:6" ht="13.5" customHeight="1">
      <c r="A13" s="285" t="s">
        <v>1391</v>
      </c>
      <c r="B13" s="1556">
        <v>100</v>
      </c>
      <c r="C13" s="1552">
        <v>100</v>
      </c>
      <c r="D13" s="1552">
        <v>100</v>
      </c>
      <c r="E13" s="1552">
        <v>100</v>
      </c>
      <c r="F13" s="102">
        <v>100</v>
      </c>
    </row>
    <row r="14" spans="1:6" ht="13.5" customHeight="1">
      <c r="A14" s="267" t="s">
        <v>1569</v>
      </c>
      <c r="B14" s="1556">
        <v>93</v>
      </c>
      <c r="C14" s="1552">
        <v>94</v>
      </c>
      <c r="D14" s="1552">
        <v>113</v>
      </c>
      <c r="E14" s="1552">
        <v>113</v>
      </c>
      <c r="F14" s="102">
        <v>113</v>
      </c>
    </row>
    <row r="15" spans="1:6" ht="13.5" customHeight="1">
      <c r="A15" s="914" t="s">
        <v>842</v>
      </c>
      <c r="B15" s="1554">
        <f>SUM(B16:B20)</f>
        <v>279</v>
      </c>
      <c r="C15" s="388">
        <f>SUM(C16:C20)</f>
        <v>280</v>
      </c>
      <c r="D15" s="388">
        <f>SUM(D16:D20)</f>
        <v>317</v>
      </c>
      <c r="E15" s="388">
        <f>SUM(E16:E20)</f>
        <v>317</v>
      </c>
      <c r="F15" s="388">
        <f>SUM(F16:F20)</f>
        <v>317</v>
      </c>
    </row>
    <row r="16" spans="1:6" ht="13.5" customHeight="1">
      <c r="A16" s="285" t="s">
        <v>1393</v>
      </c>
      <c r="B16" s="1556">
        <v>67</v>
      </c>
      <c r="C16" s="1552">
        <v>67</v>
      </c>
      <c r="D16" s="1552">
        <v>74</v>
      </c>
      <c r="E16" s="1556">
        <v>74</v>
      </c>
      <c r="F16" s="110">
        <v>74</v>
      </c>
    </row>
    <row r="17" spans="1:6" ht="13.5" customHeight="1">
      <c r="A17" s="285" t="s">
        <v>1395</v>
      </c>
      <c r="B17" s="1556">
        <v>87</v>
      </c>
      <c r="C17" s="1552">
        <v>88</v>
      </c>
      <c r="D17" s="1552">
        <v>99</v>
      </c>
      <c r="E17" s="1556">
        <v>99</v>
      </c>
      <c r="F17" s="110">
        <v>99</v>
      </c>
    </row>
    <row r="18" spans="1:6" ht="13.5" customHeight="1">
      <c r="A18" s="285" t="s">
        <v>1396</v>
      </c>
      <c r="B18" s="1556">
        <v>34</v>
      </c>
      <c r="C18" s="1552">
        <v>34</v>
      </c>
      <c r="D18" s="1552">
        <v>41</v>
      </c>
      <c r="E18" s="1556">
        <v>41</v>
      </c>
      <c r="F18" s="110">
        <v>41</v>
      </c>
    </row>
    <row r="19" spans="1:6" ht="13.5" customHeight="1">
      <c r="A19" s="285" t="s">
        <v>1397</v>
      </c>
      <c r="B19" s="1556">
        <v>74</v>
      </c>
      <c r="C19" s="1552">
        <v>74</v>
      </c>
      <c r="D19" s="1552">
        <v>80</v>
      </c>
      <c r="E19" s="1556">
        <v>80</v>
      </c>
      <c r="F19" s="110">
        <v>80</v>
      </c>
    </row>
    <row r="20" spans="1:6" ht="13.5" customHeight="1">
      <c r="A20" s="285" t="s">
        <v>856</v>
      </c>
      <c r="B20" s="1556">
        <v>17</v>
      </c>
      <c r="C20" s="1552">
        <v>17</v>
      </c>
      <c r="D20" s="1552">
        <v>23</v>
      </c>
      <c r="E20" s="1556">
        <v>23</v>
      </c>
      <c r="F20" s="110">
        <v>23</v>
      </c>
    </row>
    <row r="21" spans="1:6" ht="13.5" customHeight="1">
      <c r="A21" s="710" t="s">
        <v>844</v>
      </c>
      <c r="B21" s="1554">
        <f>SUM(B22:B26)</f>
        <v>658</v>
      </c>
      <c r="C21" s="388">
        <f>SUM(C22:C26)</f>
        <v>660</v>
      </c>
      <c r="D21" s="388">
        <f>SUM(D22:D26)</f>
        <v>688</v>
      </c>
      <c r="E21" s="388">
        <f>SUM(E22:E26)</f>
        <v>688</v>
      </c>
      <c r="F21" s="388">
        <f>SUM(F22:F26)</f>
        <v>688</v>
      </c>
    </row>
    <row r="22" spans="1:6" ht="13.5" customHeight="1">
      <c r="A22" s="285" t="s">
        <v>1269</v>
      </c>
      <c r="B22" s="1556">
        <v>134</v>
      </c>
      <c r="C22" s="1552">
        <v>134</v>
      </c>
      <c r="D22" s="1552">
        <v>136</v>
      </c>
      <c r="E22" s="1556">
        <v>136</v>
      </c>
      <c r="F22" s="110">
        <v>136</v>
      </c>
    </row>
    <row r="23" spans="1:6" ht="13.5" customHeight="1">
      <c r="A23" s="285" t="s">
        <v>1270</v>
      </c>
      <c r="B23" s="1556">
        <v>139</v>
      </c>
      <c r="C23" s="1552">
        <v>139</v>
      </c>
      <c r="D23" s="1552">
        <v>145</v>
      </c>
      <c r="E23" s="1556">
        <v>145</v>
      </c>
      <c r="F23" s="110">
        <v>145</v>
      </c>
    </row>
    <row r="24" spans="1:6" ht="13.5" customHeight="1">
      <c r="A24" s="285" t="s">
        <v>1412</v>
      </c>
      <c r="B24" s="1556">
        <v>151</v>
      </c>
      <c r="C24" s="1552">
        <v>153</v>
      </c>
      <c r="D24" s="1552">
        <v>166</v>
      </c>
      <c r="E24" s="1556">
        <v>166</v>
      </c>
      <c r="F24" s="110">
        <v>166</v>
      </c>
    </row>
    <row r="25" spans="1:6" ht="13.5" customHeight="1">
      <c r="A25" s="285" t="s">
        <v>1413</v>
      </c>
      <c r="B25" s="1556">
        <v>122</v>
      </c>
      <c r="C25" s="1552">
        <v>122</v>
      </c>
      <c r="D25" s="1552">
        <v>124</v>
      </c>
      <c r="E25" s="1556">
        <v>124</v>
      </c>
      <c r="F25" s="110">
        <v>124</v>
      </c>
    </row>
    <row r="26" spans="1:6" ht="13.5" customHeight="1">
      <c r="A26" s="285" t="s">
        <v>1414</v>
      </c>
      <c r="B26" s="1556">
        <v>112</v>
      </c>
      <c r="C26" s="1552">
        <v>112</v>
      </c>
      <c r="D26" s="1552">
        <v>117</v>
      </c>
      <c r="E26" s="1556">
        <v>117</v>
      </c>
      <c r="F26" s="110">
        <v>117</v>
      </c>
    </row>
    <row r="27" spans="1:6" ht="13.5" customHeight="1">
      <c r="A27" s="710" t="s">
        <v>843</v>
      </c>
      <c r="B27" s="1554">
        <f>SUM(B28:B35)</f>
        <v>1082</v>
      </c>
      <c r="C27" s="388">
        <f>SUM(C28:C35)</f>
        <v>1086</v>
      </c>
      <c r="D27" s="388">
        <f>SUM(D28:D35)</f>
        <v>1129</v>
      </c>
      <c r="E27" s="388">
        <f>SUM(E28:E35)</f>
        <v>1131</v>
      </c>
      <c r="F27" s="388">
        <f>SUM(F28:F35)</f>
        <v>1131</v>
      </c>
    </row>
    <row r="28" spans="1:6" ht="13.5" customHeight="1">
      <c r="A28" s="285" t="s">
        <v>1419</v>
      </c>
      <c r="B28" s="1556">
        <v>39</v>
      </c>
      <c r="C28" s="1552">
        <v>40</v>
      </c>
      <c r="D28" s="1552">
        <v>42</v>
      </c>
      <c r="E28" s="1556">
        <v>42</v>
      </c>
      <c r="F28" s="110">
        <v>42</v>
      </c>
    </row>
    <row r="29" spans="1:6" ht="13.5" customHeight="1">
      <c r="A29" s="285" t="s">
        <v>1420</v>
      </c>
      <c r="B29" s="1556">
        <v>87</v>
      </c>
      <c r="C29" s="1552">
        <v>87</v>
      </c>
      <c r="D29" s="1552">
        <v>95</v>
      </c>
      <c r="E29" s="1556">
        <v>95</v>
      </c>
      <c r="F29" s="110">
        <v>95</v>
      </c>
    </row>
    <row r="30" spans="1:6" ht="13.5" customHeight="1">
      <c r="A30" s="285" t="s">
        <v>1422</v>
      </c>
      <c r="B30" s="1556">
        <v>168</v>
      </c>
      <c r="C30" s="1552">
        <v>168</v>
      </c>
      <c r="D30" s="1552">
        <v>166</v>
      </c>
      <c r="E30" s="1556">
        <v>168</v>
      </c>
      <c r="F30" s="110">
        <v>168</v>
      </c>
    </row>
    <row r="31" spans="1:6" ht="13.5" customHeight="1">
      <c r="A31" s="285" t="s">
        <v>1423</v>
      </c>
      <c r="B31" s="1556">
        <v>129</v>
      </c>
      <c r="C31" s="1552">
        <v>129</v>
      </c>
      <c r="D31" s="1552">
        <v>141</v>
      </c>
      <c r="E31" s="1556">
        <v>141</v>
      </c>
      <c r="F31" s="110">
        <v>141</v>
      </c>
    </row>
    <row r="32" spans="1:6" ht="13.5" customHeight="1">
      <c r="A32" s="285" t="s">
        <v>1425</v>
      </c>
      <c r="B32" s="1556">
        <v>126</v>
      </c>
      <c r="C32" s="1552">
        <v>127</v>
      </c>
      <c r="D32" s="1552">
        <v>134</v>
      </c>
      <c r="E32" s="1556">
        <v>134</v>
      </c>
      <c r="F32" s="110">
        <v>134</v>
      </c>
    </row>
    <row r="33" spans="1:6" ht="13.5" customHeight="1">
      <c r="A33" s="285" t="s">
        <v>1426</v>
      </c>
      <c r="B33" s="1556">
        <v>206</v>
      </c>
      <c r="C33" s="1552">
        <v>207</v>
      </c>
      <c r="D33" s="1552">
        <v>221</v>
      </c>
      <c r="E33" s="1556">
        <v>221</v>
      </c>
      <c r="F33" s="110">
        <v>221</v>
      </c>
    </row>
    <row r="34" spans="1:6" ht="13.5" customHeight="1">
      <c r="A34" s="604" t="s">
        <v>1570</v>
      </c>
      <c r="B34" s="1556">
        <v>162</v>
      </c>
      <c r="C34" s="1552">
        <v>163</v>
      </c>
      <c r="D34" s="1552">
        <v>165</v>
      </c>
      <c r="E34" s="1556">
        <v>165</v>
      </c>
      <c r="F34" s="110">
        <v>165</v>
      </c>
    </row>
    <row r="35" spans="1:6" ht="13.5" customHeight="1">
      <c r="A35" s="274" t="s">
        <v>1429</v>
      </c>
      <c r="B35" s="1556">
        <v>165</v>
      </c>
      <c r="C35" s="1553">
        <v>165</v>
      </c>
      <c r="D35" s="1553">
        <v>165</v>
      </c>
      <c r="E35" s="1556">
        <v>165</v>
      </c>
      <c r="F35" s="110">
        <v>165</v>
      </c>
    </row>
    <row r="36" spans="1:6" ht="13.5" customHeight="1">
      <c r="A36" s="275" t="s">
        <v>979</v>
      </c>
      <c r="B36" s="275">
        <f>SUM(B7,B15,B21,B27)</f>
        <v>2821</v>
      </c>
      <c r="C36" s="138">
        <f>SUM(C7,C15,C21,C27)</f>
        <v>2831</v>
      </c>
      <c r="D36" s="275">
        <f>SUM(D7,D15,D21,D27)</f>
        <v>2977</v>
      </c>
      <c r="E36" s="139">
        <f>SUM(E7,E15,E21,E27)</f>
        <v>2979</v>
      </c>
      <c r="F36" s="139">
        <f>SUM(F7,F15,F21,F27)</f>
        <v>2979</v>
      </c>
    </row>
    <row r="37" spans="1:6">
      <c r="D37" s="1281" t="s">
        <v>455</v>
      </c>
      <c r="E37" s="2232" t="s">
        <v>620</v>
      </c>
      <c r="F37" s="2233"/>
    </row>
    <row r="38" spans="1:6">
      <c r="D38" s="1170"/>
      <c r="E38" s="2231"/>
      <c r="F38" s="2231"/>
    </row>
    <row r="39" spans="1:6">
      <c r="D39" s="1281" t="s">
        <v>456</v>
      </c>
      <c r="E39" s="2230" t="s">
        <v>21</v>
      </c>
      <c r="F39" s="2231"/>
    </row>
    <row r="40" spans="1:6">
      <c r="D40" s="1171"/>
      <c r="E40" s="2231"/>
      <c r="F40" s="2231"/>
    </row>
  </sheetData>
  <mergeCells count="6">
    <mergeCell ref="E39:F40"/>
    <mergeCell ref="A1:F1"/>
    <mergeCell ref="A4:A5"/>
    <mergeCell ref="B4:F4"/>
    <mergeCell ref="A2:F2"/>
    <mergeCell ref="E37:F38"/>
  </mergeCells>
  <phoneticPr fontId="0" type="noConversion"/>
  <printOptions horizontalCentered="1"/>
  <pageMargins left="0.1" right="0.1" top="0.5" bottom="0.15" header="0.15" footer="0.12"/>
  <pageSetup paperSize="9" orientation="landscape" blackAndWhite="1" r:id="rId1"/>
  <headerFooter alignWithMargins="0"/>
</worksheet>
</file>

<file path=xl/worksheets/sheet59.xml><?xml version="1.0" encoding="utf-8"?>
<worksheet xmlns="http://schemas.openxmlformats.org/spreadsheetml/2006/main" xmlns:r="http://schemas.openxmlformats.org/officeDocument/2006/relationships">
  <dimension ref="A1:K16"/>
  <sheetViews>
    <sheetView workbookViewId="0">
      <selection activeCell="C3" sqref="C3"/>
    </sheetView>
  </sheetViews>
  <sheetFormatPr defaultRowHeight="12.75"/>
  <cols>
    <col min="1" max="1" width="2.5703125" customWidth="1"/>
    <col min="2" max="2" width="12.85546875" customWidth="1"/>
    <col min="3" max="3" width="11.28515625" customWidth="1"/>
    <col min="4" max="4" width="12" customWidth="1"/>
    <col min="5" max="5" width="10" customWidth="1"/>
    <col min="6" max="6" width="9.85546875" customWidth="1"/>
    <col min="7" max="7" width="11.7109375" customWidth="1"/>
    <col min="8" max="8" width="15.28515625" customWidth="1"/>
    <col min="9" max="9" width="13.42578125" customWidth="1"/>
    <col min="10" max="10" width="9.7109375" customWidth="1"/>
    <col min="11" max="11" width="10.7109375" customWidth="1"/>
  </cols>
  <sheetData>
    <row r="1" spans="1:11" ht="15" customHeight="1">
      <c r="B1" s="1825" t="s">
        <v>732</v>
      </c>
      <c r="C1" s="1825"/>
      <c r="D1" s="1825"/>
      <c r="E1" s="1825"/>
      <c r="F1" s="1825"/>
      <c r="G1" s="1825"/>
      <c r="H1" s="1825"/>
      <c r="I1" s="1825"/>
      <c r="J1" s="1825"/>
      <c r="K1" s="1825"/>
    </row>
    <row r="2" spans="1:11" ht="15.75" customHeight="1">
      <c r="B2" s="2078" t="str">
        <f>CONCATENATE("Consumption of Electricity by different sectors in the district of ",District!A1)</f>
        <v>Consumption of Electricity by different sectors in the district of Purba Medinipur</v>
      </c>
      <c r="C2" s="2078"/>
      <c r="D2" s="2078"/>
      <c r="E2" s="2078"/>
      <c r="F2" s="2078"/>
      <c r="G2" s="2078"/>
      <c r="H2" s="2078"/>
      <c r="I2" s="2078"/>
      <c r="J2" s="2078"/>
      <c r="K2" s="2078"/>
    </row>
    <row r="3" spans="1:11" ht="13.5" customHeight="1">
      <c r="B3" s="7"/>
      <c r="C3" s="23"/>
      <c r="D3" s="23"/>
      <c r="E3" s="23"/>
      <c r="F3" s="23"/>
      <c r="G3" s="36"/>
      <c r="H3" s="36"/>
      <c r="I3" s="36"/>
      <c r="J3" s="7"/>
      <c r="K3" s="204" t="s">
        <v>622</v>
      </c>
    </row>
    <row r="4" spans="1:11" ht="55.5" customHeight="1">
      <c r="B4" s="842" t="s">
        <v>899</v>
      </c>
      <c r="C4" s="842" t="s">
        <v>188</v>
      </c>
      <c r="D4" s="853" t="s">
        <v>322</v>
      </c>
      <c r="E4" s="853" t="s">
        <v>189</v>
      </c>
      <c r="F4" s="853" t="s">
        <v>1161</v>
      </c>
      <c r="G4" s="853" t="s">
        <v>1411</v>
      </c>
      <c r="H4" s="356" t="s">
        <v>1409</v>
      </c>
      <c r="I4" s="853" t="s">
        <v>621</v>
      </c>
      <c r="J4" s="853" t="s">
        <v>1630</v>
      </c>
      <c r="K4" s="852" t="s">
        <v>979</v>
      </c>
    </row>
    <row r="5" spans="1:11" ht="16.5" customHeight="1">
      <c r="B5" s="134" t="s">
        <v>955</v>
      </c>
      <c r="C5" s="134" t="s">
        <v>956</v>
      </c>
      <c r="D5" s="134" t="s">
        <v>957</v>
      </c>
      <c r="E5" s="134" t="s">
        <v>958</v>
      </c>
      <c r="F5" s="134" t="s">
        <v>959</v>
      </c>
      <c r="G5" s="134" t="s">
        <v>961</v>
      </c>
      <c r="H5" s="134" t="s">
        <v>962</v>
      </c>
      <c r="I5" s="193" t="s">
        <v>990</v>
      </c>
      <c r="J5" s="134" t="s">
        <v>991</v>
      </c>
      <c r="K5" s="193" t="s">
        <v>992</v>
      </c>
    </row>
    <row r="6" spans="1:11" ht="48" customHeight="1">
      <c r="B6" s="284" t="s">
        <v>1356</v>
      </c>
      <c r="C6" s="807">
        <v>200332</v>
      </c>
      <c r="D6" s="284">
        <v>53115</v>
      </c>
      <c r="E6" s="284">
        <v>52459</v>
      </c>
      <c r="F6" s="284">
        <v>2884</v>
      </c>
      <c r="G6" s="284">
        <v>23644</v>
      </c>
      <c r="H6" s="284">
        <v>3418</v>
      </c>
      <c r="I6" s="547" t="s">
        <v>918</v>
      </c>
      <c r="J6" s="284">
        <v>6201</v>
      </c>
      <c r="K6" s="284">
        <f>SUM(C6:J6)</f>
        <v>342053</v>
      </c>
    </row>
    <row r="7" spans="1:11" ht="48" customHeight="1">
      <c r="B7" s="304" t="s">
        <v>306</v>
      </c>
      <c r="C7" s="110">
        <v>238968</v>
      </c>
      <c r="D7" s="110">
        <v>89278</v>
      </c>
      <c r="E7" s="110">
        <v>53590</v>
      </c>
      <c r="F7" s="110">
        <v>3127</v>
      </c>
      <c r="G7" s="110">
        <v>41490</v>
      </c>
      <c r="H7" s="110">
        <v>3583</v>
      </c>
      <c r="I7" s="145" t="s">
        <v>918</v>
      </c>
      <c r="J7" s="110">
        <v>4992</v>
      </c>
      <c r="K7" s="284">
        <f>SUM(C7:J7)</f>
        <v>435028</v>
      </c>
    </row>
    <row r="8" spans="1:11" ht="48" customHeight="1">
      <c r="B8" s="304" t="s">
        <v>1357</v>
      </c>
      <c r="C8" s="110">
        <v>259505</v>
      </c>
      <c r="D8" s="110">
        <v>95628</v>
      </c>
      <c r="E8" s="110">
        <v>55953</v>
      </c>
      <c r="F8" s="110">
        <v>2977</v>
      </c>
      <c r="G8" s="110">
        <v>24923</v>
      </c>
      <c r="H8" s="110">
        <v>3885</v>
      </c>
      <c r="I8" s="145" t="s">
        <v>918</v>
      </c>
      <c r="J8" s="110">
        <v>4825</v>
      </c>
      <c r="K8" s="284">
        <f>SUM(C8:J8)</f>
        <v>447696</v>
      </c>
    </row>
    <row r="9" spans="1:11" ht="48" customHeight="1">
      <c r="B9" s="304" t="s">
        <v>628</v>
      </c>
      <c r="C9" s="1556">
        <v>239186</v>
      </c>
      <c r="D9" s="1556">
        <v>69888</v>
      </c>
      <c r="E9" s="1556">
        <v>28140</v>
      </c>
      <c r="F9" s="1556">
        <v>1042</v>
      </c>
      <c r="G9" s="1556">
        <v>39948</v>
      </c>
      <c r="H9" s="1556">
        <v>5649</v>
      </c>
      <c r="I9" s="145" t="s">
        <v>918</v>
      </c>
      <c r="J9" s="1556">
        <v>2639</v>
      </c>
      <c r="K9" s="284">
        <f>SUM(C9:J9)</f>
        <v>386492</v>
      </c>
    </row>
    <row r="10" spans="1:11" ht="48" customHeight="1">
      <c r="A10" s="678"/>
      <c r="B10" s="823" t="s">
        <v>1639</v>
      </c>
      <c r="C10" s="111">
        <v>265380</v>
      </c>
      <c r="D10" s="111">
        <v>82000</v>
      </c>
      <c r="E10" s="111">
        <v>28321</v>
      </c>
      <c r="F10" s="111">
        <v>4955</v>
      </c>
      <c r="G10" s="111">
        <v>38364</v>
      </c>
      <c r="H10" s="111">
        <v>2029</v>
      </c>
      <c r="I10" s="587" t="s">
        <v>918</v>
      </c>
      <c r="J10" s="111">
        <v>2790</v>
      </c>
      <c r="K10" s="732">
        <f>SUM(C10:J10)</f>
        <v>423839</v>
      </c>
    </row>
    <row r="11" spans="1:11" ht="12" customHeight="1">
      <c r="B11" s="1262"/>
      <c r="C11" s="1040"/>
      <c r="D11" s="1040"/>
      <c r="E11" s="556"/>
      <c r="G11" s="1063" t="s">
        <v>455</v>
      </c>
      <c r="H11" s="2234" t="s">
        <v>608</v>
      </c>
      <c r="I11" s="1999"/>
      <c r="J11" s="1999"/>
      <c r="K11" s="1999"/>
    </row>
    <row r="12" spans="1:11" ht="12" customHeight="1">
      <c r="G12" s="1041"/>
      <c r="H12" s="1999"/>
      <c r="I12" s="1999"/>
      <c r="J12" s="1999"/>
      <c r="K12" s="1999"/>
    </row>
    <row r="13" spans="1:11">
      <c r="G13" s="1064" t="s">
        <v>456</v>
      </c>
      <c r="H13" s="2235" t="s">
        <v>625</v>
      </c>
      <c r="I13" s="2235"/>
      <c r="J13" s="2235"/>
    </row>
    <row r="14" spans="1:11">
      <c r="H14" s="2011"/>
      <c r="I14" s="2011"/>
      <c r="J14" s="2011"/>
    </row>
    <row r="15" spans="1:11">
      <c r="C15" s="1"/>
      <c r="D15" s="1"/>
      <c r="E15" s="1"/>
      <c r="F15" s="1"/>
      <c r="G15" s="1"/>
      <c r="H15" s="434"/>
      <c r="I15" s="1178"/>
      <c r="J15" s="434"/>
      <c r="K15" s="1"/>
    </row>
    <row r="16" spans="1:11">
      <c r="G16" s="18"/>
    </row>
  </sheetData>
  <mergeCells count="4">
    <mergeCell ref="H11:K12"/>
    <mergeCell ref="B2:K2"/>
    <mergeCell ref="B1:K1"/>
    <mergeCell ref="H13:J14"/>
  </mergeCells>
  <phoneticPr fontId="0" type="noConversion"/>
  <printOptions horizontalCentered="1"/>
  <pageMargins left="0.1" right="0.1" top="1.1000000000000001" bottom="0.1" header="0.7" footer="0.1"/>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sheetPr codeName="Sheet3"/>
  <dimension ref="A1:I29"/>
  <sheetViews>
    <sheetView workbookViewId="0">
      <selection activeCell="B3" sqref="B3:C3"/>
    </sheetView>
  </sheetViews>
  <sheetFormatPr defaultRowHeight="12.75"/>
  <cols>
    <col min="1" max="1" width="17.140625" customWidth="1"/>
    <col min="2" max="2" width="13" customWidth="1"/>
    <col min="3" max="8" width="14.140625" customWidth="1"/>
  </cols>
  <sheetData>
    <row r="1" spans="1:9" ht="15.75" customHeight="1">
      <c r="A1" s="1825" t="s">
        <v>1439</v>
      </c>
      <c r="B1" s="1825"/>
      <c r="C1" s="1825"/>
      <c r="D1" s="1825"/>
      <c r="E1" s="1825"/>
      <c r="F1" s="1825"/>
      <c r="G1" s="1825"/>
      <c r="H1" s="1825"/>
    </row>
    <row r="2" spans="1:9" ht="19.5" customHeight="1">
      <c r="A2" s="1830" t="str">
        <f>CONCATENATE("Geographical Location of ",District!$A$1," district and its headquarters")</f>
        <v>Geographical Location of Purba Medinipur district and its headquarters</v>
      </c>
      <c r="B2" s="1830"/>
      <c r="C2" s="1830"/>
      <c r="D2" s="1830"/>
      <c r="E2" s="1830"/>
      <c r="F2" s="1830"/>
      <c r="G2" s="1830"/>
      <c r="H2" s="1830"/>
    </row>
    <row r="3" spans="1:9" ht="16.5" customHeight="1">
      <c r="A3" s="1833" t="s">
        <v>1145</v>
      </c>
      <c r="B3" s="1827" t="s">
        <v>941</v>
      </c>
      <c r="C3" s="1828"/>
      <c r="D3" s="1829" t="s">
        <v>942</v>
      </c>
      <c r="E3" s="1828"/>
      <c r="F3" s="1837" t="s">
        <v>954</v>
      </c>
      <c r="G3" s="1831" t="s">
        <v>941</v>
      </c>
      <c r="H3" s="1831" t="s">
        <v>942</v>
      </c>
    </row>
    <row r="4" spans="1:9" ht="27.75" customHeight="1">
      <c r="A4" s="1834"/>
      <c r="B4" s="413" t="s">
        <v>943</v>
      </c>
      <c r="C4" s="160" t="s">
        <v>949</v>
      </c>
      <c r="D4" s="412" t="s">
        <v>950</v>
      </c>
      <c r="E4" s="160" t="s">
        <v>951</v>
      </c>
      <c r="F4" s="1838"/>
      <c r="G4" s="1832"/>
      <c r="H4" s="1832"/>
    </row>
    <row r="5" spans="1:9" ht="16.5" customHeight="1">
      <c r="A5" s="134" t="s">
        <v>955</v>
      </c>
      <c r="B5" s="135" t="s">
        <v>956</v>
      </c>
      <c r="C5" s="134" t="s">
        <v>957</v>
      </c>
      <c r="D5" s="191" t="s">
        <v>958</v>
      </c>
      <c r="E5" s="193" t="s">
        <v>959</v>
      </c>
      <c r="F5" s="193" t="s">
        <v>961</v>
      </c>
      <c r="G5" s="193" t="s">
        <v>962</v>
      </c>
      <c r="H5" s="193" t="s">
        <v>990</v>
      </c>
    </row>
    <row r="6" spans="1:9" ht="37.5" customHeight="1">
      <c r="A6" s="1255" t="str">
        <f>District!$A$1</f>
        <v>Purba Medinipur</v>
      </c>
      <c r="B6" s="740" t="s">
        <v>918</v>
      </c>
      <c r="C6" s="58" t="s">
        <v>1343</v>
      </c>
      <c r="D6" s="52" t="s">
        <v>1344</v>
      </c>
      <c r="E6" s="671" t="s">
        <v>918</v>
      </c>
      <c r="F6" s="939" t="s">
        <v>200</v>
      </c>
      <c r="G6" s="671" t="s">
        <v>918</v>
      </c>
      <c r="H6" s="671" t="s">
        <v>918</v>
      </c>
    </row>
    <row r="7" spans="1:9">
      <c r="A7" s="190"/>
      <c r="B7" s="127"/>
      <c r="D7" s="7"/>
      <c r="E7" s="1826" t="s">
        <v>1315</v>
      </c>
      <c r="F7" s="1826"/>
      <c r="G7" s="1826"/>
      <c r="H7" s="1826"/>
    </row>
    <row r="8" spans="1:9">
      <c r="B8" s="7"/>
      <c r="C8" s="7"/>
      <c r="D8" s="7"/>
    </row>
    <row r="9" spans="1:9" ht="15.75" customHeight="1">
      <c r="A9" s="1825" t="s">
        <v>809</v>
      </c>
      <c r="B9" s="1825"/>
      <c r="C9" s="1825"/>
      <c r="D9" s="1825"/>
      <c r="E9" s="1825"/>
      <c r="F9" s="1825"/>
      <c r="G9" s="1825"/>
      <c r="H9" s="1825"/>
      <c r="I9" s="7"/>
    </row>
    <row r="10" spans="1:9" ht="19.5" customHeight="1">
      <c r="A10" s="1835" t="str">
        <f>CONCATENATE("Monthly Rainfall in the district of ",District!$A$1)</f>
        <v>Monthly Rainfall in the district of Purba Medinipur</v>
      </c>
      <c r="B10" s="1835"/>
      <c r="C10" s="1835"/>
      <c r="D10" s="1835"/>
      <c r="E10" s="1835"/>
      <c r="F10" s="1835"/>
      <c r="G10" s="1835"/>
      <c r="H10" s="1835"/>
      <c r="I10" s="7"/>
    </row>
    <row r="11" spans="1:9">
      <c r="A11" s="7"/>
      <c r="B11" s="42"/>
      <c r="C11" s="1836"/>
      <c r="D11" s="1836"/>
      <c r="E11" s="1836"/>
      <c r="F11" s="808"/>
      <c r="G11" s="6"/>
      <c r="H11" s="204" t="s">
        <v>1261</v>
      </c>
      <c r="I11" s="7"/>
    </row>
    <row r="12" spans="1:9" ht="16.5" customHeight="1">
      <c r="A12" s="1841" t="s">
        <v>963</v>
      </c>
      <c r="B12" s="1842"/>
      <c r="C12" s="1056" t="s">
        <v>965</v>
      </c>
      <c r="D12" s="1839" t="s">
        <v>966</v>
      </c>
      <c r="E12" s="1839"/>
      <c r="F12" s="1839"/>
      <c r="G12" s="1839"/>
      <c r="H12" s="1840"/>
      <c r="I12" s="7"/>
    </row>
    <row r="13" spans="1:9" ht="16.5" customHeight="1">
      <c r="A13" s="1843"/>
      <c r="B13" s="1844"/>
      <c r="C13" s="1466">
        <f>H13</f>
        <v>2014</v>
      </c>
      <c r="D13" s="1684">
        <v>2010</v>
      </c>
      <c r="E13" s="1234">
        <v>2011</v>
      </c>
      <c r="F13" s="1234">
        <v>2012</v>
      </c>
      <c r="G13" s="946">
        <v>2013</v>
      </c>
      <c r="H13" s="946">
        <v>2014</v>
      </c>
      <c r="I13" s="7"/>
    </row>
    <row r="14" spans="1:9" ht="17.25" customHeight="1">
      <c r="A14" s="1823" t="s">
        <v>955</v>
      </c>
      <c r="B14" s="1824"/>
      <c r="C14" s="74" t="s">
        <v>956</v>
      </c>
      <c r="D14" s="592" t="s">
        <v>957</v>
      </c>
      <c r="E14" s="593" t="s">
        <v>958</v>
      </c>
      <c r="F14" s="592" t="s">
        <v>959</v>
      </c>
      <c r="G14" s="63" t="s">
        <v>961</v>
      </c>
      <c r="H14" s="73" t="s">
        <v>962</v>
      </c>
      <c r="I14" s="7"/>
    </row>
    <row r="15" spans="1:9" ht="19.5" customHeight="1">
      <c r="A15" s="1845" t="s">
        <v>967</v>
      </c>
      <c r="B15" s="1846"/>
      <c r="C15" s="432">
        <v>11</v>
      </c>
      <c r="D15" s="1697" t="s">
        <v>1384</v>
      </c>
      <c r="E15" s="1697">
        <v>3</v>
      </c>
      <c r="F15" s="1697">
        <v>56</v>
      </c>
      <c r="G15" s="1697">
        <v>2</v>
      </c>
      <c r="H15" s="110">
        <v>0</v>
      </c>
      <c r="I15" s="7"/>
    </row>
    <row r="16" spans="1:9" ht="19.5" customHeight="1">
      <c r="A16" s="1847" t="s">
        <v>968</v>
      </c>
      <c r="B16" s="1848"/>
      <c r="C16" s="117">
        <v>27</v>
      </c>
      <c r="D16" s="1697">
        <v>16</v>
      </c>
      <c r="E16" s="1697">
        <v>10</v>
      </c>
      <c r="F16" s="1697">
        <v>9</v>
      </c>
      <c r="G16" s="1697">
        <v>5</v>
      </c>
      <c r="H16" s="110">
        <v>72</v>
      </c>
      <c r="I16" s="7"/>
    </row>
    <row r="17" spans="1:9" ht="19.5" customHeight="1">
      <c r="A17" s="1847" t="s">
        <v>969</v>
      </c>
      <c r="B17" s="1848"/>
      <c r="C17" s="117">
        <v>40</v>
      </c>
      <c r="D17" s="1697">
        <v>1</v>
      </c>
      <c r="E17" s="1697">
        <v>13</v>
      </c>
      <c r="F17" s="1697">
        <v>1</v>
      </c>
      <c r="G17" s="1697">
        <v>1</v>
      </c>
      <c r="H17" s="110">
        <v>10</v>
      </c>
      <c r="I17" s="7"/>
    </row>
    <row r="18" spans="1:9" ht="19.5" customHeight="1">
      <c r="A18" s="1847" t="s">
        <v>970</v>
      </c>
      <c r="B18" s="1848"/>
      <c r="C18" s="117">
        <v>52</v>
      </c>
      <c r="D18" s="1697">
        <v>1</v>
      </c>
      <c r="E18" s="1697">
        <v>76</v>
      </c>
      <c r="F18" s="1697">
        <v>47</v>
      </c>
      <c r="G18" s="1697">
        <v>31</v>
      </c>
      <c r="H18" s="110">
        <v>6</v>
      </c>
      <c r="I18" s="7"/>
    </row>
    <row r="19" spans="1:9" ht="19.5" customHeight="1">
      <c r="A19" s="1847" t="s">
        <v>971</v>
      </c>
      <c r="B19" s="1848"/>
      <c r="C19" s="117">
        <v>128</v>
      </c>
      <c r="D19" s="1697">
        <v>94</v>
      </c>
      <c r="E19" s="1697">
        <v>112</v>
      </c>
      <c r="F19" s="1697">
        <v>43</v>
      </c>
      <c r="G19" s="1697">
        <v>191</v>
      </c>
      <c r="H19" s="110">
        <v>187</v>
      </c>
      <c r="I19" s="7"/>
    </row>
    <row r="20" spans="1:9" ht="19.5" customHeight="1">
      <c r="A20" s="1847" t="s">
        <v>972</v>
      </c>
      <c r="B20" s="1848"/>
      <c r="C20" s="117">
        <v>273</v>
      </c>
      <c r="D20" s="1697">
        <v>178</v>
      </c>
      <c r="E20" s="1697">
        <v>309</v>
      </c>
      <c r="F20" s="1697">
        <v>116</v>
      </c>
      <c r="G20" s="1697">
        <v>290</v>
      </c>
      <c r="H20" s="110">
        <v>236</v>
      </c>
      <c r="I20" s="7"/>
    </row>
    <row r="21" spans="1:9" ht="19.5" customHeight="1">
      <c r="A21" s="1847" t="s">
        <v>973</v>
      </c>
      <c r="B21" s="1848"/>
      <c r="C21" s="117">
        <v>312</v>
      </c>
      <c r="D21" s="1697">
        <v>266</v>
      </c>
      <c r="E21" s="1697">
        <v>272</v>
      </c>
      <c r="F21" s="1697">
        <v>310</v>
      </c>
      <c r="G21" s="1697">
        <v>292</v>
      </c>
      <c r="H21" s="110">
        <v>354</v>
      </c>
      <c r="I21" s="7"/>
    </row>
    <row r="22" spans="1:9" ht="19.5" customHeight="1">
      <c r="A22" s="1847" t="s">
        <v>974</v>
      </c>
      <c r="B22" s="1848"/>
      <c r="C22" s="117">
        <v>359</v>
      </c>
      <c r="D22" s="1697">
        <v>295</v>
      </c>
      <c r="E22" s="1697">
        <v>384</v>
      </c>
      <c r="F22" s="1697">
        <v>249</v>
      </c>
      <c r="G22" s="1697">
        <v>436</v>
      </c>
      <c r="H22" s="110">
        <v>464</v>
      </c>
      <c r="I22" s="7"/>
    </row>
    <row r="23" spans="1:9" ht="19.5" customHeight="1">
      <c r="A23" s="1847" t="s">
        <v>975</v>
      </c>
      <c r="B23" s="1848"/>
      <c r="C23" s="117">
        <v>296</v>
      </c>
      <c r="D23" s="1697">
        <v>246</v>
      </c>
      <c r="E23" s="1697">
        <v>335</v>
      </c>
      <c r="F23" s="1697">
        <v>368</v>
      </c>
      <c r="G23" s="1697">
        <v>365</v>
      </c>
      <c r="H23" s="110">
        <v>298</v>
      </c>
      <c r="I23" s="7"/>
    </row>
    <row r="24" spans="1:9" ht="19.5" customHeight="1">
      <c r="A24" s="1847" t="s">
        <v>976</v>
      </c>
      <c r="B24" s="1848"/>
      <c r="C24" s="117">
        <v>124</v>
      </c>
      <c r="D24" s="1697">
        <v>125</v>
      </c>
      <c r="E24" s="1697">
        <v>24</v>
      </c>
      <c r="F24" s="1697">
        <v>79</v>
      </c>
      <c r="G24" s="1697">
        <v>465</v>
      </c>
      <c r="H24" s="110">
        <v>102</v>
      </c>
      <c r="I24" s="7"/>
    </row>
    <row r="25" spans="1:9" ht="19.5" customHeight="1">
      <c r="A25" s="1847" t="s">
        <v>977</v>
      </c>
      <c r="B25" s="1848"/>
      <c r="C25" s="117">
        <v>36</v>
      </c>
      <c r="D25" s="1697">
        <v>5</v>
      </c>
      <c r="E25" s="1697" t="s">
        <v>1384</v>
      </c>
      <c r="F25" s="1697">
        <v>25</v>
      </c>
      <c r="G25" s="1697" t="s">
        <v>1384</v>
      </c>
      <c r="H25" s="110">
        <v>0</v>
      </c>
      <c r="I25" s="7"/>
    </row>
    <row r="26" spans="1:9" ht="19.5" customHeight="1">
      <c r="A26" s="1849" t="s">
        <v>978</v>
      </c>
      <c r="B26" s="1850"/>
      <c r="C26" s="109">
        <v>8</v>
      </c>
      <c r="D26" s="1681">
        <v>17</v>
      </c>
      <c r="E26" s="1697" t="s">
        <v>1384</v>
      </c>
      <c r="F26" s="1697">
        <v>39</v>
      </c>
      <c r="G26" s="1697" t="s">
        <v>1384</v>
      </c>
      <c r="H26" s="110">
        <v>0</v>
      </c>
      <c r="I26" s="7"/>
    </row>
    <row r="27" spans="1:9" ht="16.5" customHeight="1">
      <c r="A27" s="1851" t="s">
        <v>979</v>
      </c>
      <c r="B27" s="1852"/>
      <c r="C27" s="276">
        <f t="shared" ref="C27:H27" si="0">SUM(C15:C26)</f>
        <v>1666</v>
      </c>
      <c r="D27" s="1670">
        <f t="shared" ref="D27:G27" si="1">SUM(D15:D26)</f>
        <v>1244</v>
      </c>
      <c r="E27" s="275">
        <f t="shared" si="1"/>
        <v>1538</v>
      </c>
      <c r="F27" s="275">
        <f t="shared" si="1"/>
        <v>1342</v>
      </c>
      <c r="G27" s="275">
        <f t="shared" si="1"/>
        <v>2078</v>
      </c>
      <c r="H27" s="275">
        <f t="shared" si="0"/>
        <v>1729</v>
      </c>
      <c r="I27" s="7"/>
    </row>
    <row r="28" spans="1:9">
      <c r="E28" s="1152"/>
      <c r="F28" s="1062"/>
      <c r="H28" s="1062" t="s">
        <v>5</v>
      </c>
    </row>
    <row r="29" spans="1:9">
      <c r="E29" s="1152"/>
      <c r="F29" s="1153"/>
    </row>
  </sheetData>
  <mergeCells count="28">
    <mergeCell ref="A26:B26"/>
    <mergeCell ref="A27:B27"/>
    <mergeCell ref="A22:B22"/>
    <mergeCell ref="A23:B23"/>
    <mergeCell ref="A24:B24"/>
    <mergeCell ref="A25:B25"/>
    <mergeCell ref="A15:B15"/>
    <mergeCell ref="A16:B16"/>
    <mergeCell ref="A20:B20"/>
    <mergeCell ref="A21:B21"/>
    <mergeCell ref="A17:B17"/>
    <mergeCell ref="A18:B18"/>
    <mergeCell ref="A19:B19"/>
    <mergeCell ref="A14:B14"/>
    <mergeCell ref="A1:H1"/>
    <mergeCell ref="E7:H7"/>
    <mergeCell ref="B3:C3"/>
    <mergeCell ref="D3:E3"/>
    <mergeCell ref="A2:H2"/>
    <mergeCell ref="G3:G4"/>
    <mergeCell ref="H3:H4"/>
    <mergeCell ref="A3:A4"/>
    <mergeCell ref="A9:H9"/>
    <mergeCell ref="A10:H10"/>
    <mergeCell ref="C11:E11"/>
    <mergeCell ref="F3:F4"/>
    <mergeCell ref="D12:H12"/>
    <mergeCell ref="A12:B13"/>
  </mergeCells>
  <phoneticPr fontId="0" type="noConversion"/>
  <printOptions horizontalCentered="1"/>
  <pageMargins left="0.06" right="0.1" top="0.76" bottom="0.1" header="0.25" footer="0.1"/>
  <pageSetup paperSize="9" orientation="landscape" blackAndWhite="1" r:id="rId1"/>
  <headerFooter alignWithMargins="0"/>
</worksheet>
</file>

<file path=xl/worksheets/sheet60.xml><?xml version="1.0" encoding="utf-8"?>
<worksheet xmlns="http://schemas.openxmlformats.org/spreadsheetml/2006/main" xmlns:r="http://schemas.openxmlformats.org/officeDocument/2006/relationships">
  <dimension ref="A1:K44"/>
  <sheetViews>
    <sheetView topLeftCell="A13" workbookViewId="0">
      <selection activeCell="A27" sqref="A27"/>
    </sheetView>
  </sheetViews>
  <sheetFormatPr defaultRowHeight="12.75"/>
  <cols>
    <col min="1" max="1" width="11.5703125" customWidth="1"/>
    <col min="2" max="2" width="10.85546875" customWidth="1"/>
    <col min="3" max="3" width="12.42578125" customWidth="1"/>
    <col min="4" max="4" width="12.7109375" customWidth="1"/>
    <col min="5" max="5" width="11.140625" customWidth="1"/>
    <col min="6" max="6" width="12.5703125" customWidth="1"/>
    <col min="7" max="7" width="11.5703125" customWidth="1"/>
    <col min="8" max="8" width="11.7109375" customWidth="1"/>
    <col min="9" max="9" width="12.7109375" customWidth="1"/>
    <col min="10" max="10" width="12.42578125" customWidth="1"/>
    <col min="11" max="11" width="12.140625" customWidth="1"/>
  </cols>
  <sheetData>
    <row r="1" spans="1:11">
      <c r="A1" s="1825" t="s">
        <v>731</v>
      </c>
      <c r="B1" s="1825"/>
      <c r="C1" s="1825"/>
      <c r="D1" s="1825"/>
      <c r="E1" s="1825"/>
      <c r="F1" s="1825"/>
      <c r="G1" s="1825"/>
      <c r="H1" s="1825"/>
      <c r="I1" s="1825"/>
      <c r="J1" s="1825"/>
      <c r="K1" s="1825"/>
    </row>
    <row r="2" spans="1:11" ht="16.5">
      <c r="A2" s="1857" t="s">
        <v>1683</v>
      </c>
      <c r="B2" s="1857"/>
      <c r="C2" s="1857"/>
      <c r="D2" s="1857"/>
      <c r="E2" s="1857"/>
      <c r="F2" s="1857"/>
      <c r="G2" s="1857"/>
      <c r="H2" s="1857"/>
      <c r="I2" s="1857"/>
      <c r="J2" s="1857"/>
      <c r="K2" s="1857"/>
    </row>
    <row r="3" spans="1:11">
      <c r="A3" s="7"/>
      <c r="B3" s="7"/>
      <c r="C3" s="1733"/>
      <c r="D3" s="1733"/>
      <c r="E3" s="1733"/>
      <c r="F3" s="2238"/>
      <c r="G3" s="2238"/>
      <c r="H3" s="2238"/>
      <c r="I3" s="2238"/>
      <c r="J3" s="2238"/>
      <c r="K3" s="2238"/>
    </row>
    <row r="4" spans="1:11" ht="42.75" customHeight="1">
      <c r="A4" s="1725" t="s">
        <v>541</v>
      </c>
      <c r="B4" s="362" t="s">
        <v>177</v>
      </c>
      <c r="C4" s="362" t="s">
        <v>277</v>
      </c>
      <c r="D4" s="1728" t="s">
        <v>278</v>
      </c>
      <c r="E4" s="362" t="s">
        <v>940</v>
      </c>
      <c r="F4" s="1728" t="s">
        <v>279</v>
      </c>
      <c r="G4" s="362" t="s">
        <v>280</v>
      </c>
      <c r="H4" s="1726" t="s">
        <v>281</v>
      </c>
      <c r="I4" s="1724" t="s">
        <v>282</v>
      </c>
      <c r="J4" s="1724" t="s">
        <v>283</v>
      </c>
      <c r="K4" s="1727" t="s">
        <v>284</v>
      </c>
    </row>
    <row r="5" spans="1:11">
      <c r="A5" s="288" t="s">
        <v>955</v>
      </c>
      <c r="B5" s="291" t="s">
        <v>956</v>
      </c>
      <c r="C5" s="289" t="s">
        <v>957</v>
      </c>
      <c r="D5" s="291" t="s">
        <v>958</v>
      </c>
      <c r="E5" s="289" t="s">
        <v>959</v>
      </c>
      <c r="F5" s="291" t="s">
        <v>961</v>
      </c>
      <c r="G5" s="289" t="s">
        <v>962</v>
      </c>
      <c r="H5" s="363" t="s">
        <v>990</v>
      </c>
      <c r="I5" s="289" t="s">
        <v>991</v>
      </c>
      <c r="J5" s="363" t="s">
        <v>992</v>
      </c>
      <c r="K5" s="363" t="s">
        <v>993</v>
      </c>
    </row>
    <row r="6" spans="1:11" ht="21" customHeight="1">
      <c r="A6" s="1723" t="s">
        <v>1632</v>
      </c>
      <c r="B6" s="1731">
        <v>17</v>
      </c>
      <c r="C6" s="115">
        <v>106011</v>
      </c>
      <c r="D6" s="1731">
        <v>155546</v>
      </c>
      <c r="E6" s="115">
        <v>1618</v>
      </c>
      <c r="F6" s="1731">
        <v>726</v>
      </c>
      <c r="G6" s="115">
        <v>3274</v>
      </c>
      <c r="H6" s="1731">
        <v>359434</v>
      </c>
      <c r="I6" s="115">
        <v>391981</v>
      </c>
      <c r="J6" s="1731">
        <v>26856</v>
      </c>
      <c r="K6" s="1729">
        <v>25332</v>
      </c>
    </row>
    <row r="7" spans="1:11" ht="21" customHeight="1">
      <c r="A7" s="1723" t="s">
        <v>1633</v>
      </c>
      <c r="B7" s="1731">
        <v>3</v>
      </c>
      <c r="C7" s="115">
        <v>92</v>
      </c>
      <c r="D7" s="1731">
        <v>94</v>
      </c>
      <c r="E7" s="115">
        <v>21</v>
      </c>
      <c r="F7" s="1731">
        <v>9</v>
      </c>
      <c r="G7" s="115">
        <v>12</v>
      </c>
      <c r="H7" s="1731">
        <v>389</v>
      </c>
      <c r="I7" s="115">
        <v>445</v>
      </c>
      <c r="J7" s="1731">
        <v>49</v>
      </c>
      <c r="K7" s="1729">
        <v>39</v>
      </c>
    </row>
    <row r="8" spans="1:11" ht="21" customHeight="1">
      <c r="A8" s="1723" t="s">
        <v>8</v>
      </c>
      <c r="B8" s="1731">
        <v>7</v>
      </c>
      <c r="C8" s="115">
        <v>5</v>
      </c>
      <c r="D8" s="1731">
        <v>5</v>
      </c>
      <c r="E8" s="115">
        <v>47</v>
      </c>
      <c r="F8" s="1731">
        <v>16</v>
      </c>
      <c r="G8" s="115">
        <v>13</v>
      </c>
      <c r="H8" s="1731">
        <v>15</v>
      </c>
      <c r="I8" s="115">
        <v>34</v>
      </c>
      <c r="J8" s="1731">
        <v>18</v>
      </c>
      <c r="K8" s="1729">
        <v>18</v>
      </c>
    </row>
    <row r="9" spans="1:11" ht="21" customHeight="1">
      <c r="A9" s="1723" t="s">
        <v>9</v>
      </c>
      <c r="B9" s="1731">
        <v>1</v>
      </c>
      <c r="C9" s="115">
        <v>1</v>
      </c>
      <c r="D9" s="1731">
        <v>5</v>
      </c>
      <c r="E9" s="115">
        <v>5</v>
      </c>
      <c r="F9" s="1731">
        <v>1</v>
      </c>
      <c r="G9" s="115">
        <v>1</v>
      </c>
      <c r="H9" s="1731">
        <v>3</v>
      </c>
      <c r="I9" s="115">
        <v>7</v>
      </c>
      <c r="J9" s="1731">
        <v>3</v>
      </c>
      <c r="K9" s="1729">
        <v>3</v>
      </c>
    </row>
    <row r="10" spans="1:11" ht="21" customHeight="1">
      <c r="A10" s="1723" t="s">
        <v>10</v>
      </c>
      <c r="B10" s="1731">
        <v>3</v>
      </c>
      <c r="C10" s="115">
        <v>1038044</v>
      </c>
      <c r="D10" s="1731">
        <v>1046875</v>
      </c>
      <c r="E10" s="115">
        <v>375</v>
      </c>
      <c r="F10" s="1731">
        <v>162</v>
      </c>
      <c r="G10" s="115">
        <v>1748</v>
      </c>
      <c r="H10" s="1731">
        <v>255673</v>
      </c>
      <c r="I10" s="115">
        <v>258962</v>
      </c>
      <c r="J10" s="1731">
        <v>-2762</v>
      </c>
      <c r="K10" s="1729">
        <v>-2805</v>
      </c>
    </row>
    <row r="11" spans="1:11" ht="21" customHeight="1">
      <c r="A11" s="1723" t="s">
        <v>11</v>
      </c>
      <c r="B11" s="1731">
        <v>2</v>
      </c>
      <c r="C11" s="115">
        <v>3632</v>
      </c>
      <c r="D11" s="1731">
        <v>3747</v>
      </c>
      <c r="E11" s="115">
        <v>36</v>
      </c>
      <c r="F11" s="1731">
        <v>13</v>
      </c>
      <c r="G11" s="115">
        <v>76</v>
      </c>
      <c r="H11" s="1731">
        <v>1136</v>
      </c>
      <c r="I11" s="115">
        <v>1962</v>
      </c>
      <c r="J11" s="1731">
        <v>812</v>
      </c>
      <c r="K11" s="1729">
        <v>812</v>
      </c>
    </row>
    <row r="12" spans="1:11" ht="21" customHeight="1">
      <c r="A12" s="1723" t="s">
        <v>12</v>
      </c>
      <c r="B12" s="1731">
        <v>3</v>
      </c>
      <c r="C12" s="115">
        <v>1691</v>
      </c>
      <c r="D12" s="1731">
        <v>2855</v>
      </c>
      <c r="E12" s="115">
        <v>219</v>
      </c>
      <c r="F12" s="1731">
        <v>92</v>
      </c>
      <c r="G12" s="115">
        <v>327</v>
      </c>
      <c r="H12" s="1731">
        <v>7316</v>
      </c>
      <c r="I12" s="115">
        <v>8287</v>
      </c>
      <c r="J12" s="1731">
        <v>776</v>
      </c>
      <c r="K12" s="1729">
        <v>838</v>
      </c>
    </row>
    <row r="13" spans="1:11" ht="21" customHeight="1">
      <c r="A13" s="1723" t="s">
        <v>13</v>
      </c>
      <c r="B13" s="1731">
        <v>3</v>
      </c>
      <c r="C13" s="115">
        <v>29857</v>
      </c>
      <c r="D13" s="1731">
        <v>39380</v>
      </c>
      <c r="E13" s="115">
        <v>350</v>
      </c>
      <c r="F13" s="1731">
        <v>135</v>
      </c>
      <c r="G13" s="115">
        <v>754</v>
      </c>
      <c r="H13" s="1731">
        <v>70071</v>
      </c>
      <c r="I13" s="115">
        <v>83587</v>
      </c>
      <c r="J13" s="1731">
        <v>11140</v>
      </c>
      <c r="K13" s="1729">
        <v>7837</v>
      </c>
    </row>
    <row r="14" spans="1:11" ht="21" customHeight="1">
      <c r="A14" s="1723" t="s">
        <v>14</v>
      </c>
      <c r="B14" s="1731">
        <v>3</v>
      </c>
      <c r="C14" s="115">
        <v>50604</v>
      </c>
      <c r="D14" s="1731">
        <v>80639</v>
      </c>
      <c r="E14" s="115">
        <v>489</v>
      </c>
      <c r="F14" s="1731">
        <v>607</v>
      </c>
      <c r="G14" s="115">
        <v>2279</v>
      </c>
      <c r="H14" s="1731">
        <v>111298</v>
      </c>
      <c r="I14" s="115">
        <v>125801</v>
      </c>
      <c r="J14" s="1731">
        <v>9467</v>
      </c>
      <c r="K14" s="1729">
        <v>4899</v>
      </c>
    </row>
    <row r="15" spans="1:11" ht="21" customHeight="1">
      <c r="A15" s="1723" t="s">
        <v>15</v>
      </c>
      <c r="B15" s="1731">
        <v>4</v>
      </c>
      <c r="C15" s="115">
        <v>781</v>
      </c>
      <c r="D15" s="1731">
        <v>2494</v>
      </c>
      <c r="E15" s="115">
        <v>270</v>
      </c>
      <c r="F15" s="1731">
        <v>101</v>
      </c>
      <c r="G15" s="115">
        <v>614</v>
      </c>
      <c r="H15" s="1731">
        <v>5035</v>
      </c>
      <c r="I15" s="115">
        <v>8181</v>
      </c>
      <c r="J15" s="1731">
        <v>3020</v>
      </c>
      <c r="K15" s="1729">
        <v>1787</v>
      </c>
    </row>
    <row r="16" spans="1:11" ht="21" customHeight="1">
      <c r="A16" s="1723" t="s">
        <v>16</v>
      </c>
      <c r="B16" s="1731">
        <v>1</v>
      </c>
      <c r="C16" s="115">
        <v>15</v>
      </c>
      <c r="D16" s="1731">
        <v>18</v>
      </c>
      <c r="E16" s="115">
        <v>18</v>
      </c>
      <c r="F16" s="1731">
        <v>6</v>
      </c>
      <c r="G16" s="115">
        <v>80</v>
      </c>
      <c r="H16" s="1731">
        <v>5</v>
      </c>
      <c r="I16" s="115">
        <v>84</v>
      </c>
      <c r="J16" s="1731">
        <v>79</v>
      </c>
      <c r="K16" s="1729">
        <v>79</v>
      </c>
    </row>
    <row r="17" spans="1:11" ht="21" customHeight="1">
      <c r="A17" s="1723" t="s">
        <v>17</v>
      </c>
      <c r="B17" s="1731">
        <v>1</v>
      </c>
      <c r="C17" s="115">
        <v>2852</v>
      </c>
      <c r="D17" s="1731">
        <v>5786</v>
      </c>
      <c r="E17" s="115">
        <v>38</v>
      </c>
      <c r="F17" s="1731">
        <v>25</v>
      </c>
      <c r="G17" s="115">
        <v>100</v>
      </c>
      <c r="H17" s="1731">
        <v>1166</v>
      </c>
      <c r="I17" s="115">
        <v>694</v>
      </c>
      <c r="J17" s="1731">
        <v>-535</v>
      </c>
      <c r="K17" s="1729">
        <v>-496</v>
      </c>
    </row>
    <row r="18" spans="1:11" ht="21" customHeight="1">
      <c r="A18" s="1723" t="s">
        <v>18</v>
      </c>
      <c r="B18" s="1731">
        <v>2</v>
      </c>
      <c r="C18" s="115">
        <v>161</v>
      </c>
      <c r="D18" s="1731">
        <v>165</v>
      </c>
      <c r="E18" s="115">
        <v>80</v>
      </c>
      <c r="F18" s="1731">
        <v>26</v>
      </c>
      <c r="G18" s="115">
        <v>36</v>
      </c>
      <c r="H18" s="1731">
        <v>81</v>
      </c>
      <c r="I18" s="115">
        <v>142</v>
      </c>
      <c r="J18" s="1731">
        <v>49</v>
      </c>
      <c r="K18" s="1729">
        <v>35</v>
      </c>
    </row>
    <row r="19" spans="1:11" ht="21" customHeight="1">
      <c r="A19" s="1723" t="s">
        <v>19</v>
      </c>
      <c r="B19" s="1731">
        <v>3</v>
      </c>
      <c r="C19" s="115">
        <v>48</v>
      </c>
      <c r="D19" s="1731">
        <v>48</v>
      </c>
      <c r="E19" s="115">
        <v>84</v>
      </c>
      <c r="F19" s="1731">
        <v>33</v>
      </c>
      <c r="G19" s="115">
        <v>340</v>
      </c>
      <c r="H19" s="1731">
        <v>11</v>
      </c>
      <c r="I19" s="115">
        <v>4</v>
      </c>
      <c r="J19" s="1731">
        <v>-8</v>
      </c>
      <c r="K19" s="1729">
        <v>-8</v>
      </c>
    </row>
    <row r="20" spans="1:11" ht="21" customHeight="1">
      <c r="A20" s="1723" t="s">
        <v>20</v>
      </c>
      <c r="B20" s="1731">
        <v>3</v>
      </c>
      <c r="C20" s="115">
        <v>214829</v>
      </c>
      <c r="D20" s="1731">
        <v>219598</v>
      </c>
      <c r="E20" s="115">
        <v>164</v>
      </c>
      <c r="F20" s="1731">
        <v>67</v>
      </c>
      <c r="G20" s="115">
        <v>951</v>
      </c>
      <c r="H20" s="1731">
        <v>22025</v>
      </c>
      <c r="I20" s="115">
        <v>110316</v>
      </c>
      <c r="J20" s="1731">
        <v>72293</v>
      </c>
      <c r="K20" s="1729">
        <v>50584</v>
      </c>
    </row>
    <row r="21" spans="1:11" ht="21" customHeight="1">
      <c r="A21" s="1723" t="s">
        <v>1684</v>
      </c>
      <c r="B21" s="1731">
        <v>1</v>
      </c>
      <c r="C21" s="115">
        <v>260</v>
      </c>
      <c r="D21" s="1731">
        <v>339</v>
      </c>
      <c r="E21" s="115">
        <v>68</v>
      </c>
      <c r="F21" s="1731">
        <v>26</v>
      </c>
      <c r="G21" s="115">
        <v>287</v>
      </c>
      <c r="H21" s="1731">
        <v>316</v>
      </c>
      <c r="I21" s="115">
        <v>738</v>
      </c>
      <c r="J21" s="1731">
        <v>379</v>
      </c>
      <c r="K21" s="1729">
        <v>340</v>
      </c>
    </row>
    <row r="22" spans="1:11" ht="21" customHeight="1">
      <c r="A22" s="1164" t="s">
        <v>312</v>
      </c>
      <c r="B22" s="671">
        <f t="shared" ref="B22:K22" si="0">SUM(B6:B21)</f>
        <v>57</v>
      </c>
      <c r="C22" s="671">
        <f t="shared" si="0"/>
        <v>1448883</v>
      </c>
      <c r="D22" s="671">
        <f t="shared" si="0"/>
        <v>1557594</v>
      </c>
      <c r="E22" s="671">
        <f t="shared" si="0"/>
        <v>3882</v>
      </c>
      <c r="F22" s="671">
        <f t="shared" si="0"/>
        <v>2045</v>
      </c>
      <c r="G22" s="671">
        <f t="shared" si="0"/>
        <v>10892</v>
      </c>
      <c r="H22" s="671">
        <f t="shared" si="0"/>
        <v>833974</v>
      </c>
      <c r="I22" s="671">
        <f t="shared" si="0"/>
        <v>991225</v>
      </c>
      <c r="J22" s="671">
        <f t="shared" si="0"/>
        <v>121636</v>
      </c>
      <c r="K22" s="671">
        <f t="shared" si="0"/>
        <v>89294</v>
      </c>
    </row>
    <row r="23" spans="1:11">
      <c r="A23" s="1472"/>
      <c r="B23" s="1472"/>
      <c r="C23" s="1472"/>
      <c r="D23" s="1472"/>
      <c r="E23" s="1472"/>
      <c r="F23" s="1472"/>
      <c r="G23" s="1472"/>
      <c r="H23" s="29"/>
      <c r="I23" s="29"/>
      <c r="J23" s="29"/>
      <c r="K23" s="1734" t="s">
        <v>444</v>
      </c>
    </row>
    <row r="24" spans="1:11">
      <c r="A24" s="1461"/>
      <c r="B24" s="1461"/>
      <c r="C24" s="1461"/>
      <c r="D24" s="1461"/>
      <c r="E24" s="1461"/>
      <c r="F24" s="1461"/>
      <c r="G24" s="1461"/>
      <c r="H24" s="15"/>
      <c r="I24" s="15"/>
      <c r="J24" s="15"/>
      <c r="K24" s="1295"/>
    </row>
    <row r="25" spans="1:11">
      <c r="A25" s="1461"/>
      <c r="B25" s="1461"/>
      <c r="C25" s="1461"/>
      <c r="D25" s="1461"/>
      <c r="E25" s="1461"/>
      <c r="F25" s="1461"/>
      <c r="G25" s="1461"/>
      <c r="H25" s="15"/>
      <c r="I25" s="15"/>
      <c r="J25" s="15"/>
      <c r="K25" s="1295"/>
    </row>
    <row r="26" spans="1:11" ht="24.75" customHeight="1">
      <c r="A26" s="1825" t="s">
        <v>1729</v>
      </c>
      <c r="B26" s="1825"/>
      <c r="C26" s="1825"/>
      <c r="D26" s="1825"/>
      <c r="E26" s="1825"/>
      <c r="F26" s="1825"/>
      <c r="G26" s="1825"/>
      <c r="H26" s="1825"/>
      <c r="I26" s="1825"/>
      <c r="J26" s="1825"/>
      <c r="K26" s="1825"/>
    </row>
    <row r="27" spans="1:11" ht="27" customHeight="1">
      <c r="A27" s="1208" t="s">
        <v>753</v>
      </c>
      <c r="B27" s="1886" t="s">
        <v>1435</v>
      </c>
      <c r="C27" s="1886"/>
      <c r="D27" s="1886"/>
      <c r="E27" s="1886"/>
      <c r="F27" s="1886"/>
      <c r="G27" s="1886"/>
      <c r="H27" s="1886"/>
      <c r="I27" s="1886"/>
      <c r="J27" s="1886"/>
      <c r="K27" s="2239"/>
    </row>
    <row r="28" spans="1:11" ht="25.5" customHeight="1">
      <c r="A28" s="1037">
        <v>10</v>
      </c>
      <c r="B28" s="1224" t="s">
        <v>742</v>
      </c>
      <c r="C28" s="1225"/>
      <c r="D28" s="1225"/>
      <c r="E28" s="1209"/>
      <c r="F28" s="1209"/>
      <c r="G28" s="1209"/>
      <c r="H28" s="1209"/>
      <c r="I28" s="1209"/>
      <c r="J28" s="1209"/>
      <c r="K28" s="1038"/>
    </row>
    <row r="29" spans="1:11" ht="25.5" customHeight="1">
      <c r="A29" s="828">
        <v>11</v>
      </c>
      <c r="B29" s="149" t="s">
        <v>743</v>
      </c>
      <c r="C29" s="150"/>
      <c r="D29" s="150"/>
      <c r="E29" s="150"/>
      <c r="F29" s="150"/>
      <c r="G29" s="829"/>
      <c r="H29" s="829"/>
      <c r="I29" s="829"/>
      <c r="J29" s="829"/>
      <c r="K29" s="638"/>
    </row>
    <row r="30" spans="1:11" ht="25.5" customHeight="1">
      <c r="A30" s="828">
        <v>12</v>
      </c>
      <c r="B30" s="149" t="s">
        <v>744</v>
      </c>
      <c r="C30" s="150"/>
      <c r="D30" s="150"/>
      <c r="E30" s="150"/>
      <c r="F30" s="829"/>
      <c r="G30" s="829"/>
      <c r="H30" s="829"/>
      <c r="I30" s="829"/>
      <c r="J30" s="829"/>
      <c r="K30" s="638"/>
    </row>
    <row r="31" spans="1:11" ht="25.5" customHeight="1">
      <c r="A31" s="828">
        <v>16</v>
      </c>
      <c r="B31" s="149" t="s">
        <v>747</v>
      </c>
      <c r="C31" s="150"/>
      <c r="D31" s="150"/>
      <c r="E31" s="150"/>
      <c r="F31" s="150"/>
      <c r="G31" s="150"/>
      <c r="H31" s="150"/>
      <c r="I31" s="150"/>
      <c r="J31" s="150"/>
      <c r="K31" s="638"/>
    </row>
    <row r="32" spans="1:11" ht="25.5" customHeight="1">
      <c r="A32" s="828">
        <v>19</v>
      </c>
      <c r="B32" s="149" t="s">
        <v>745</v>
      </c>
      <c r="C32" s="150"/>
      <c r="D32" s="150"/>
      <c r="E32" s="150"/>
      <c r="F32" s="829"/>
      <c r="G32" s="829"/>
      <c r="H32" s="829"/>
      <c r="I32" s="829"/>
      <c r="J32" s="829"/>
      <c r="K32" s="638"/>
    </row>
    <row r="33" spans="1:11" ht="25.5" customHeight="1">
      <c r="A33" s="828">
        <v>20</v>
      </c>
      <c r="B33" s="149" t="s">
        <v>1027</v>
      </c>
      <c r="C33" s="150"/>
      <c r="D33" s="150"/>
      <c r="E33" s="150"/>
      <c r="F33" s="829"/>
      <c r="G33" s="829"/>
      <c r="H33" s="829"/>
      <c r="I33" s="829"/>
      <c r="J33" s="829"/>
      <c r="K33" s="915"/>
    </row>
    <row r="34" spans="1:11" ht="25.5" customHeight="1">
      <c r="A34" s="828">
        <v>22</v>
      </c>
      <c r="B34" s="149" t="s">
        <v>752</v>
      </c>
      <c r="C34" s="150"/>
      <c r="D34" s="150"/>
      <c r="E34" s="150"/>
      <c r="F34" s="829"/>
      <c r="G34" s="829"/>
      <c r="H34" s="829"/>
      <c r="I34" s="829"/>
      <c r="J34" s="829"/>
      <c r="K34" s="638"/>
    </row>
    <row r="35" spans="1:11" ht="25.5" customHeight="1">
      <c r="A35" s="828">
        <v>23</v>
      </c>
      <c r="B35" s="149" t="s">
        <v>746</v>
      </c>
      <c r="C35" s="150"/>
      <c r="D35" s="150"/>
      <c r="E35" s="150"/>
      <c r="F35" s="829"/>
      <c r="G35" s="829"/>
      <c r="H35" s="829"/>
      <c r="I35" s="829"/>
      <c r="J35" s="829"/>
      <c r="K35" s="638"/>
    </row>
    <row r="36" spans="1:11" ht="25.5" customHeight="1">
      <c r="A36" s="828">
        <v>24</v>
      </c>
      <c r="B36" s="149" t="s">
        <v>1029</v>
      </c>
      <c r="C36" s="150"/>
      <c r="D36" s="150"/>
      <c r="E36" s="150"/>
      <c r="F36" s="829"/>
      <c r="G36" s="829"/>
      <c r="H36" s="829"/>
      <c r="I36" s="829"/>
      <c r="J36" s="829"/>
      <c r="K36" s="638"/>
    </row>
    <row r="37" spans="1:11" ht="25.5" customHeight="1">
      <c r="A37" s="828">
        <v>25</v>
      </c>
      <c r="B37" s="149" t="s">
        <v>748</v>
      </c>
      <c r="C37" s="150"/>
      <c r="D37" s="150"/>
      <c r="E37" s="150"/>
      <c r="F37" s="150"/>
      <c r="G37" s="150"/>
      <c r="H37" s="150"/>
      <c r="I37" s="829"/>
      <c r="J37" s="829"/>
      <c r="K37" s="638"/>
    </row>
    <row r="38" spans="1:11" ht="25.5" customHeight="1">
      <c r="A38" s="828">
        <v>28</v>
      </c>
      <c r="B38" s="2236" t="s">
        <v>1229</v>
      </c>
      <c r="C38" s="2237"/>
      <c r="D38" s="2237"/>
      <c r="E38" s="2237"/>
      <c r="F38" s="829"/>
      <c r="G38" s="829"/>
      <c r="H38" s="829"/>
      <c r="I38" s="829"/>
      <c r="J38" s="829"/>
      <c r="K38" s="638"/>
    </row>
    <row r="39" spans="1:11" ht="25.5" customHeight="1">
      <c r="A39" s="828">
        <v>29</v>
      </c>
      <c r="B39" s="149" t="s">
        <v>348</v>
      </c>
      <c r="C39" s="150"/>
      <c r="D39" s="150"/>
      <c r="E39" s="150"/>
      <c r="F39" s="150"/>
      <c r="G39" s="829"/>
      <c r="H39" s="829"/>
      <c r="I39" s="829"/>
      <c r="J39" s="829"/>
      <c r="K39" s="638"/>
    </row>
    <row r="40" spans="1:11" ht="25.5" customHeight="1">
      <c r="A40" s="828">
        <v>33</v>
      </c>
      <c r="B40" s="149" t="s">
        <v>749</v>
      </c>
      <c r="C40" s="150"/>
      <c r="D40" s="150"/>
      <c r="E40" s="150"/>
      <c r="F40" s="150"/>
      <c r="G40" s="829"/>
      <c r="H40" s="829"/>
      <c r="I40" s="829"/>
      <c r="J40" s="829"/>
      <c r="K40" s="638"/>
    </row>
    <row r="41" spans="1:11" ht="25.5" customHeight="1">
      <c r="A41" s="828">
        <v>45</v>
      </c>
      <c r="B41" s="149" t="s">
        <v>750</v>
      </c>
      <c r="C41" s="150"/>
      <c r="D41" s="150"/>
      <c r="E41" s="150"/>
      <c r="F41" s="150"/>
      <c r="G41" s="150"/>
      <c r="H41" s="829"/>
      <c r="I41" s="829"/>
      <c r="J41" s="829"/>
      <c r="K41" s="638"/>
    </row>
    <row r="42" spans="1:11" ht="25.5" customHeight="1">
      <c r="A42" s="828">
        <v>52</v>
      </c>
      <c r="B42" s="149" t="s">
        <v>751</v>
      </c>
      <c r="C42" s="150"/>
      <c r="D42" s="150"/>
      <c r="E42" s="150"/>
      <c r="F42" s="150"/>
      <c r="G42" s="150"/>
      <c r="H42" s="829"/>
      <c r="I42" s="829"/>
      <c r="J42" s="829"/>
      <c r="K42" s="638"/>
    </row>
    <row r="43" spans="1:11" ht="25.5" customHeight="1">
      <c r="A43" s="830">
        <v>82</v>
      </c>
      <c r="B43" s="552" t="s">
        <v>1728</v>
      </c>
      <c r="C43" s="129"/>
      <c r="D43" s="129"/>
      <c r="E43" s="129"/>
      <c r="F43" s="129"/>
      <c r="G43" s="1459"/>
      <c r="H43" s="1459"/>
      <c r="I43" s="1459"/>
      <c r="J43" s="1459"/>
      <c r="K43" s="1460"/>
    </row>
    <row r="44" spans="1:11">
      <c r="A44" s="1041" t="s">
        <v>569</v>
      </c>
      <c r="F44" s="1730"/>
      <c r="I44" s="319"/>
      <c r="J44" s="319"/>
      <c r="K44" s="1063" t="s">
        <v>302</v>
      </c>
    </row>
  </sheetData>
  <mergeCells count="6">
    <mergeCell ref="B38:E38"/>
    <mergeCell ref="A1:K1"/>
    <mergeCell ref="A2:K2"/>
    <mergeCell ref="F3:K3"/>
    <mergeCell ref="B27:K27"/>
    <mergeCell ref="A26:K26"/>
  </mergeCells>
  <printOptions horizontalCentered="1"/>
  <pageMargins left="0.1" right="0.1" top="0.84" bottom="0.5" header="0.28999999999999998" footer="0.5"/>
  <pageSetup paperSize="9" orientation="landscape" blackAndWhite="1" r:id="rId1"/>
  <headerFooter alignWithMargins="0"/>
</worksheet>
</file>

<file path=xl/worksheets/sheet61.xml><?xml version="1.0" encoding="utf-8"?>
<worksheet xmlns="http://schemas.openxmlformats.org/spreadsheetml/2006/main" xmlns:r="http://schemas.openxmlformats.org/officeDocument/2006/relationships">
  <dimension ref="B1:K13"/>
  <sheetViews>
    <sheetView workbookViewId="0">
      <selection activeCell="M8" sqref="M8"/>
    </sheetView>
  </sheetViews>
  <sheetFormatPr defaultRowHeight="12.75"/>
  <cols>
    <col min="1" max="1" width="8.140625" customWidth="1"/>
    <col min="2" max="2" width="24.85546875" customWidth="1"/>
    <col min="3" max="3" width="14.42578125" customWidth="1"/>
    <col min="4" max="4" width="13" customWidth="1"/>
    <col min="5" max="6" width="12.28515625" customWidth="1"/>
    <col min="7" max="7" width="12.140625" customWidth="1"/>
    <col min="8" max="8" width="14.85546875" customWidth="1"/>
    <col min="9" max="10" width="12.42578125" customWidth="1"/>
  </cols>
  <sheetData>
    <row r="1" spans="2:11" ht="14.25" customHeight="1">
      <c r="B1" s="1825" t="s">
        <v>730</v>
      </c>
      <c r="C1" s="1825"/>
      <c r="D1" s="1825"/>
      <c r="E1" s="1825"/>
      <c r="F1" s="1825"/>
      <c r="G1" s="1825"/>
      <c r="H1" s="1825"/>
      <c r="I1" s="1825"/>
      <c r="J1" s="1825"/>
    </row>
    <row r="2" spans="2:11" ht="26.25" customHeight="1">
      <c r="B2" s="1853" t="str">
        <f>CONCATENATE("Production in Sericulture Industry in the district of ",District!A1)</f>
        <v>Production in Sericulture Industry in the district of Purba Medinipur</v>
      </c>
      <c r="C2" s="1853"/>
      <c r="D2" s="1853"/>
      <c r="E2" s="1853"/>
      <c r="F2" s="1853"/>
      <c r="G2" s="1853"/>
      <c r="H2" s="1853"/>
      <c r="I2" s="1853"/>
      <c r="J2" s="1853"/>
      <c r="K2" s="37"/>
    </row>
    <row r="3" spans="2:11" ht="19.5" customHeight="1">
      <c r="B3" s="1831" t="s">
        <v>609</v>
      </c>
      <c r="C3" s="1827" t="s">
        <v>190</v>
      </c>
      <c r="D3" s="1827"/>
      <c r="E3" s="1827"/>
      <c r="F3" s="1828"/>
      <c r="G3" s="1829" t="s">
        <v>636</v>
      </c>
      <c r="H3" s="1827"/>
      <c r="I3" s="1827"/>
      <c r="J3" s="1828"/>
      <c r="K3" s="7"/>
    </row>
    <row r="4" spans="2:11" ht="39" customHeight="1">
      <c r="B4" s="1832"/>
      <c r="C4" s="175" t="s">
        <v>62</v>
      </c>
      <c r="D4" s="175" t="s">
        <v>1214</v>
      </c>
      <c r="E4" s="175" t="s">
        <v>1233</v>
      </c>
      <c r="F4" s="1280" t="s">
        <v>1215</v>
      </c>
      <c r="G4" s="199" t="s">
        <v>191</v>
      </c>
      <c r="H4" s="156" t="s">
        <v>192</v>
      </c>
      <c r="I4" s="500" t="s">
        <v>193</v>
      </c>
      <c r="J4" s="501" t="s">
        <v>194</v>
      </c>
      <c r="K4" s="7"/>
    </row>
    <row r="5" spans="2:11" ht="18" customHeight="1">
      <c r="B5" s="63" t="s">
        <v>955</v>
      </c>
      <c r="C5" s="74" t="s">
        <v>956</v>
      </c>
      <c r="D5" s="49" t="s">
        <v>957</v>
      </c>
      <c r="E5" s="49" t="s">
        <v>958</v>
      </c>
      <c r="F5" s="59" t="s">
        <v>959</v>
      </c>
      <c r="G5" s="74" t="s">
        <v>961</v>
      </c>
      <c r="H5" s="49" t="s">
        <v>962</v>
      </c>
      <c r="I5" s="49" t="s">
        <v>990</v>
      </c>
      <c r="J5" s="59" t="s">
        <v>991</v>
      </c>
      <c r="K5" s="39"/>
    </row>
    <row r="6" spans="2:11" ht="48" customHeight="1">
      <c r="B6" s="304" t="s">
        <v>1356</v>
      </c>
      <c r="C6" s="822" t="s">
        <v>1384</v>
      </c>
      <c r="D6" s="575" t="s">
        <v>1384</v>
      </c>
      <c r="E6" s="575" t="s">
        <v>1384</v>
      </c>
      <c r="F6" s="821" t="s">
        <v>1384</v>
      </c>
      <c r="G6" s="822" t="s">
        <v>1384</v>
      </c>
      <c r="H6" s="575" t="s">
        <v>1384</v>
      </c>
      <c r="I6" s="575" t="s">
        <v>1384</v>
      </c>
      <c r="J6" s="821" t="s">
        <v>1384</v>
      </c>
    </row>
    <row r="7" spans="2:11" ht="48" customHeight="1">
      <c r="B7" s="304" t="s">
        <v>306</v>
      </c>
      <c r="C7" s="1501" t="s">
        <v>1384</v>
      </c>
      <c r="D7" s="575" t="s">
        <v>1384</v>
      </c>
      <c r="E7" s="575" t="s">
        <v>1384</v>
      </c>
      <c r="F7" s="821" t="s">
        <v>1384</v>
      </c>
      <c r="G7" s="822" t="s">
        <v>1384</v>
      </c>
      <c r="H7" s="575" t="s">
        <v>1384</v>
      </c>
      <c r="I7" s="575" t="s">
        <v>1384</v>
      </c>
      <c r="J7" s="821" t="s">
        <v>1384</v>
      </c>
    </row>
    <row r="8" spans="2:11" ht="48" customHeight="1">
      <c r="B8" s="304" t="s">
        <v>1357</v>
      </c>
      <c r="C8" s="1231">
        <v>2.39</v>
      </c>
      <c r="D8" s="575" t="s">
        <v>1384</v>
      </c>
      <c r="E8" s="575" t="s">
        <v>1384</v>
      </c>
      <c r="F8" s="821" t="s">
        <v>1384</v>
      </c>
      <c r="G8" s="1394">
        <v>38</v>
      </c>
      <c r="H8" s="575" t="s">
        <v>1384</v>
      </c>
      <c r="I8" s="575" t="s">
        <v>1384</v>
      </c>
      <c r="J8" s="821" t="s">
        <v>1384</v>
      </c>
    </row>
    <row r="9" spans="2:11" ht="48" customHeight="1">
      <c r="B9" s="304" t="s">
        <v>628</v>
      </c>
      <c r="C9" s="1231" t="s">
        <v>1384</v>
      </c>
      <c r="D9" s="1178" t="s">
        <v>1384</v>
      </c>
      <c r="E9" s="1178" t="s">
        <v>1384</v>
      </c>
      <c r="F9" s="1428" t="s">
        <v>1384</v>
      </c>
      <c r="G9" s="1408" t="s">
        <v>1384</v>
      </c>
      <c r="H9" s="1178" t="s">
        <v>1384</v>
      </c>
      <c r="I9" s="1178" t="s">
        <v>1384</v>
      </c>
      <c r="J9" s="1428" t="s">
        <v>1384</v>
      </c>
    </row>
    <row r="10" spans="2:11" ht="48" customHeight="1">
      <c r="B10" s="823" t="s">
        <v>1639</v>
      </c>
      <c r="C10" s="1282" t="s">
        <v>1384</v>
      </c>
      <c r="D10" s="1398" t="s">
        <v>1384</v>
      </c>
      <c r="E10" s="1398" t="s">
        <v>1384</v>
      </c>
      <c r="F10" s="1399" t="s">
        <v>1384</v>
      </c>
      <c r="G10" s="1400" t="s">
        <v>1384</v>
      </c>
      <c r="H10" s="1398" t="s">
        <v>1384</v>
      </c>
      <c r="I10" s="1398" t="s">
        <v>1384</v>
      </c>
      <c r="J10" s="1399" t="s">
        <v>1384</v>
      </c>
      <c r="K10" s="7"/>
    </row>
    <row r="11" spans="2:11">
      <c r="B11" s="2240" t="s">
        <v>1244</v>
      </c>
      <c r="C11" s="2241"/>
      <c r="D11" s="2241"/>
      <c r="E11" s="2241"/>
      <c r="F11" s="45"/>
      <c r="G11" s="45"/>
      <c r="H11" s="45"/>
      <c r="J11" s="1063" t="s">
        <v>635</v>
      </c>
    </row>
    <row r="12" spans="2:11">
      <c r="B12" s="2241"/>
      <c r="C12" s="2241"/>
      <c r="D12" s="2241"/>
      <c r="E12" s="2241"/>
    </row>
    <row r="13" spans="2:11">
      <c r="B13" s="24"/>
      <c r="C13" s="24"/>
      <c r="D13" s="24"/>
    </row>
  </sheetData>
  <mergeCells count="6">
    <mergeCell ref="B11:E12"/>
    <mergeCell ref="B1:J1"/>
    <mergeCell ref="B2:J2"/>
    <mergeCell ref="B3:B4"/>
    <mergeCell ref="C3:F3"/>
    <mergeCell ref="G3:J3"/>
  </mergeCells>
  <phoneticPr fontId="0" type="noConversion"/>
  <pageMargins left="0.1" right="0.1" top="1.03" bottom="0.1" header="0.5" footer="0.1"/>
  <pageSetup paperSize="9" orientation="landscape" blackAndWhite="1" r:id="rId1"/>
  <headerFooter alignWithMargins="0"/>
</worksheet>
</file>

<file path=xl/worksheets/sheet62.xml><?xml version="1.0" encoding="utf-8"?>
<worksheet xmlns="http://schemas.openxmlformats.org/spreadsheetml/2006/main" xmlns:r="http://schemas.openxmlformats.org/officeDocument/2006/relationships">
  <dimension ref="A3:K21"/>
  <sheetViews>
    <sheetView workbookViewId="0">
      <selection activeCell="K8" sqref="K8"/>
    </sheetView>
  </sheetViews>
  <sheetFormatPr defaultRowHeight="12.75"/>
  <cols>
    <col min="1" max="1" width="4" customWidth="1"/>
    <col min="2" max="2" width="32.85546875" customWidth="1"/>
    <col min="3" max="7" width="16.42578125" customWidth="1"/>
    <col min="8" max="8" width="14.85546875" customWidth="1"/>
  </cols>
  <sheetData>
    <row r="3" spans="1:11" ht="15.75" customHeight="1">
      <c r="A3" s="2242" t="s">
        <v>729</v>
      </c>
      <c r="B3" s="2242"/>
      <c r="C3" s="2242"/>
      <c r="D3" s="2242"/>
      <c r="E3" s="2242"/>
      <c r="F3" s="2242"/>
      <c r="G3" s="2242"/>
    </row>
    <row r="4" spans="1:11" ht="20.25" customHeight="1">
      <c r="A4" s="2243" t="s">
        <v>548</v>
      </c>
      <c r="B4" s="2243"/>
      <c r="C4" s="2243"/>
      <c r="D4" s="2243"/>
      <c r="E4" s="2243"/>
      <c r="F4" s="2243"/>
      <c r="G4" s="2243"/>
      <c r="H4" s="47"/>
      <c r="I4" s="47"/>
      <c r="J4" s="47"/>
      <c r="K4" s="37"/>
    </row>
    <row r="5" spans="1:11" s="1016" customFormat="1" ht="15.75" customHeight="1">
      <c r="D5" s="1017"/>
      <c r="E5" s="1017"/>
      <c r="F5" s="1017"/>
      <c r="G5" s="1018" t="s">
        <v>1001</v>
      </c>
      <c r="H5" s="345"/>
      <c r="I5" s="1019"/>
      <c r="J5" s="1019"/>
      <c r="K5" s="1019"/>
    </row>
    <row r="6" spans="1:11" s="678" customFormat="1" ht="27" customHeight="1">
      <c r="A6" s="2111" t="s">
        <v>196</v>
      </c>
      <c r="B6" s="2113"/>
      <c r="C6" s="1711">
        <v>2010</v>
      </c>
      <c r="D6" s="490">
        <v>2011</v>
      </c>
      <c r="E6" s="490">
        <v>2012</v>
      </c>
      <c r="F6" s="1710">
        <v>2013</v>
      </c>
      <c r="G6" s="1020">
        <v>2014</v>
      </c>
      <c r="H6" s="708"/>
      <c r="I6" s="708"/>
      <c r="J6" s="708"/>
      <c r="K6" s="1021"/>
    </row>
    <row r="7" spans="1:11" s="794" customFormat="1" ht="25.5" customHeight="1">
      <c r="A7" s="2244" t="s">
        <v>955</v>
      </c>
      <c r="B7" s="2245"/>
      <c r="C7" s="795" t="s">
        <v>956</v>
      </c>
      <c r="D7" s="799" t="s">
        <v>957</v>
      </c>
      <c r="E7" s="795" t="s">
        <v>958</v>
      </c>
      <c r="F7" s="798" t="s">
        <v>959</v>
      </c>
      <c r="G7" s="795" t="s">
        <v>961</v>
      </c>
      <c r="H7" s="1022"/>
      <c r="I7" s="1023"/>
      <c r="J7" s="1023"/>
      <c r="K7" s="1023"/>
    </row>
    <row r="8" spans="1:11" ht="45.75" customHeight="1">
      <c r="A8" s="1024" t="s">
        <v>1489</v>
      </c>
      <c r="B8" s="1442" t="s">
        <v>1028</v>
      </c>
      <c r="C8" s="72"/>
      <c r="D8" s="7"/>
      <c r="E8" s="86"/>
      <c r="F8" s="1393"/>
      <c r="G8" s="72"/>
      <c r="H8" s="7"/>
      <c r="I8" s="7"/>
      <c r="J8" s="7"/>
    </row>
    <row r="9" spans="1:11" ht="35.25" customHeight="1">
      <c r="A9" s="1025"/>
      <c r="B9" s="440" t="s">
        <v>320</v>
      </c>
      <c r="C9" s="1707">
        <v>382</v>
      </c>
      <c r="D9" s="1708">
        <v>388</v>
      </c>
      <c r="E9" s="1707">
        <v>393</v>
      </c>
      <c r="F9" s="1712" t="s">
        <v>1679</v>
      </c>
      <c r="G9" s="956" t="s">
        <v>1676</v>
      </c>
      <c r="I9" s="7"/>
    </row>
    <row r="10" spans="1:11" ht="47.25" customHeight="1">
      <c r="A10" s="1025"/>
      <c r="B10" s="440" t="s">
        <v>321</v>
      </c>
      <c r="C10" s="1707">
        <v>44514</v>
      </c>
      <c r="D10" s="1708">
        <v>45313</v>
      </c>
      <c r="E10" s="1707">
        <v>45838</v>
      </c>
      <c r="F10" s="1712" t="s">
        <v>1680</v>
      </c>
      <c r="G10" s="956" t="s">
        <v>1675</v>
      </c>
      <c r="I10" s="7"/>
    </row>
    <row r="11" spans="1:11" ht="55.5" customHeight="1">
      <c r="A11" s="1303">
        <v>2</v>
      </c>
      <c r="B11" s="1302" t="s">
        <v>1677</v>
      </c>
      <c r="C11" s="1713" t="s">
        <v>918</v>
      </c>
      <c r="D11" s="1716">
        <v>10359</v>
      </c>
      <c r="E11" s="1714" t="s">
        <v>918</v>
      </c>
      <c r="F11" s="1716">
        <v>9929</v>
      </c>
      <c r="G11" s="632">
        <v>9842</v>
      </c>
      <c r="I11" s="7"/>
      <c r="J11" s="7"/>
    </row>
    <row r="12" spans="1:11" ht="12" customHeight="1">
      <c r="A12" s="1095"/>
      <c r="B12" s="1027"/>
      <c r="C12" s="48"/>
      <c r="E12" s="1028" t="s">
        <v>455</v>
      </c>
      <c r="F12" s="1029" t="s">
        <v>1587</v>
      </c>
      <c r="G12" s="1029"/>
      <c r="H12" s="7"/>
      <c r="I12" s="7"/>
      <c r="J12" s="7"/>
    </row>
    <row r="13" spans="1:11" ht="12" customHeight="1">
      <c r="A13" s="1026"/>
      <c r="B13" s="1027"/>
      <c r="C13" s="1030"/>
      <c r="D13" s="1029"/>
      <c r="E13" s="1028" t="s">
        <v>456</v>
      </c>
      <c r="F13" s="1029" t="s">
        <v>1297</v>
      </c>
      <c r="G13" s="1029"/>
      <c r="H13" s="7"/>
      <c r="I13" s="7"/>
      <c r="J13" s="7"/>
    </row>
    <row r="14" spans="1:11" ht="12.75" customHeight="1">
      <c r="A14" s="1031"/>
      <c r="B14" s="1031"/>
      <c r="C14" s="1031"/>
      <c r="D14" s="1029"/>
      <c r="E14" s="1029"/>
      <c r="F14" s="1032"/>
      <c r="G14" s="1029"/>
      <c r="H14" s="7"/>
      <c r="I14" s="7"/>
      <c r="J14" s="7"/>
    </row>
    <row r="15" spans="1:11" ht="12.75" customHeight="1">
      <c r="A15" s="1031"/>
      <c r="B15" s="1031"/>
      <c r="C15" s="1031"/>
      <c r="D15" s="1029"/>
      <c r="E15" s="1033"/>
      <c r="F15" s="1034"/>
      <c r="G15" s="1034"/>
      <c r="H15" s="7"/>
      <c r="I15" s="7"/>
      <c r="J15" s="7"/>
    </row>
    <row r="16" spans="1:11" ht="12" customHeight="1">
      <c r="A16" s="1031"/>
      <c r="B16" s="1031"/>
      <c r="C16" s="1031"/>
      <c r="D16" s="48"/>
      <c r="E16" s="1034"/>
      <c r="F16" s="1034"/>
      <c r="G16" s="1034"/>
      <c r="H16" s="7"/>
      <c r="I16" s="7"/>
      <c r="J16" s="7"/>
    </row>
    <row r="17" spans="2:11" ht="18" customHeight="1">
      <c r="B17" s="21"/>
      <c r="C17" s="7"/>
      <c r="D17" s="7"/>
      <c r="E17" s="7"/>
      <c r="F17" s="7"/>
      <c r="G17" s="7"/>
      <c r="H17" s="7"/>
      <c r="I17" s="7"/>
      <c r="J17" s="7"/>
    </row>
    <row r="18" spans="2:11" ht="18" customHeight="1">
      <c r="B18" s="21"/>
      <c r="C18" s="7"/>
      <c r="D18" s="7"/>
      <c r="E18" s="7"/>
      <c r="F18" s="7"/>
      <c r="G18" s="7"/>
      <c r="H18" s="7"/>
      <c r="I18" s="7"/>
      <c r="J18" s="7"/>
    </row>
    <row r="19" spans="2:11" ht="18" customHeight="1">
      <c r="B19" s="8"/>
      <c r="C19" s="7"/>
      <c r="D19" s="7"/>
      <c r="E19" s="7"/>
      <c r="F19" s="7"/>
      <c r="G19" s="7"/>
      <c r="H19" s="7"/>
      <c r="I19" s="7"/>
      <c r="J19" s="7"/>
      <c r="K19" s="7"/>
    </row>
    <row r="20" spans="2:11">
      <c r="B20" s="11"/>
      <c r="C20" s="45"/>
      <c r="D20" s="14"/>
      <c r="E20" s="14"/>
      <c r="F20" s="14"/>
      <c r="H20" s="14"/>
    </row>
    <row r="21" spans="2:11">
      <c r="C21" s="45"/>
      <c r="D21" s="45"/>
      <c r="E21" s="45"/>
      <c r="F21" s="45"/>
      <c r="G21" s="45"/>
      <c r="H21" s="45"/>
    </row>
  </sheetData>
  <mergeCells count="4">
    <mergeCell ref="A3:G3"/>
    <mergeCell ref="A4:G4"/>
    <mergeCell ref="A7:B7"/>
    <mergeCell ref="A6:B6"/>
  </mergeCells>
  <phoneticPr fontId="0" type="noConversion"/>
  <conditionalFormatting sqref="A1:A1048576 B7:B65536 B1:B5 O1:IV1048576 J1:N8 J11:N65536 C1:I1048576">
    <cfRule type="cellIs" dxfId="5" priority="1" stopIfTrue="1" operator="equal">
      <formula>".."</formula>
    </cfRule>
  </conditionalFormatting>
  <printOptions horizontalCentered="1"/>
  <pageMargins left="0.1" right="0.1" top="0.95" bottom="0.1" header="0.5" footer="0.1"/>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dimension ref="B1:L20"/>
  <sheetViews>
    <sheetView topLeftCell="C1" workbookViewId="0">
      <selection activeCell="D12" sqref="D12:I12"/>
    </sheetView>
  </sheetViews>
  <sheetFormatPr defaultRowHeight="12.75"/>
  <cols>
    <col min="1" max="1" width="7.28515625" customWidth="1"/>
    <col min="2" max="2" width="5.5703125" customWidth="1"/>
    <col min="3" max="3" width="34.140625" customWidth="1"/>
    <col min="4" max="4" width="14" customWidth="1"/>
    <col min="5" max="5" width="14.5703125" customWidth="1"/>
    <col min="6" max="6" width="17.85546875" customWidth="1"/>
    <col min="7" max="7" width="8.140625" customWidth="1"/>
    <col min="8" max="8" width="12.140625" customWidth="1"/>
    <col min="9" max="9" width="17.85546875" customWidth="1"/>
  </cols>
  <sheetData>
    <row r="1" spans="2:12" ht="19.5" customHeight="1">
      <c r="B1" s="1825" t="s">
        <v>729</v>
      </c>
      <c r="C1" s="1825"/>
      <c r="D1" s="1825"/>
      <c r="E1" s="1825"/>
      <c r="F1" s="1825"/>
      <c r="G1" s="1825"/>
      <c r="H1" s="1825"/>
      <c r="I1" s="1825"/>
    </row>
    <row r="2" spans="2:12" ht="19.5" customHeight="1">
      <c r="B2" s="1835" t="str">
        <f>CONCATENATE("Employment in Registered Factories and State Government Offices in the district of ",District!A1)</f>
        <v>Employment in Registered Factories and State Government Offices in the district of Purba Medinipur</v>
      </c>
      <c r="C2" s="1835"/>
      <c r="D2" s="1835"/>
      <c r="E2" s="1835"/>
      <c r="F2" s="1835"/>
      <c r="G2" s="1835"/>
      <c r="H2" s="1835"/>
      <c r="I2" s="1835"/>
      <c r="J2" s="47"/>
      <c r="K2" s="47"/>
      <c r="L2" s="37"/>
    </row>
    <row r="3" spans="2:12" ht="14.25" customHeight="1">
      <c r="B3" s="7"/>
      <c r="C3" s="7"/>
      <c r="D3" s="23"/>
      <c r="E3" s="23"/>
      <c r="F3" s="23"/>
      <c r="I3" s="227" t="s">
        <v>1001</v>
      </c>
      <c r="J3" s="37"/>
      <c r="K3" s="37"/>
      <c r="L3" s="37"/>
    </row>
    <row r="4" spans="2:12" ht="20.25" customHeight="1">
      <c r="B4" s="1829" t="s">
        <v>196</v>
      </c>
      <c r="C4" s="1828"/>
      <c r="D4" s="232">
        <v>2005</v>
      </c>
      <c r="E4" s="232">
        <v>2006</v>
      </c>
      <c r="F4" s="2248">
        <v>2007</v>
      </c>
      <c r="G4" s="2249"/>
      <c r="H4" s="990">
        <v>2008</v>
      </c>
      <c r="I4" s="234">
        <v>2009</v>
      </c>
      <c r="J4" s="46"/>
      <c r="K4" s="46"/>
      <c r="L4" s="7"/>
    </row>
    <row r="5" spans="2:12" ht="21.75" customHeight="1">
      <c r="B5" s="2094" t="s">
        <v>955</v>
      </c>
      <c r="C5" s="2099"/>
      <c r="D5" s="134" t="s">
        <v>956</v>
      </c>
      <c r="E5" s="272" t="s">
        <v>957</v>
      </c>
      <c r="F5" s="2094" t="s">
        <v>958</v>
      </c>
      <c r="G5" s="2099"/>
      <c r="H5" s="134" t="s">
        <v>959</v>
      </c>
      <c r="I5" s="136" t="s">
        <v>961</v>
      </c>
      <c r="J5" s="39"/>
      <c r="K5" s="39"/>
      <c r="L5" s="39"/>
    </row>
    <row r="6" spans="2:12" ht="27.75" customHeight="1">
      <c r="B6" s="762" t="s">
        <v>213</v>
      </c>
      <c r="C6" s="466" t="s">
        <v>980</v>
      </c>
      <c r="D6" s="102"/>
      <c r="F6" s="2246"/>
      <c r="G6" s="2247"/>
      <c r="H6" s="110"/>
      <c r="I6" s="966"/>
      <c r="J6" s="7"/>
      <c r="K6" s="7"/>
    </row>
    <row r="7" spans="2:12" ht="30" customHeight="1">
      <c r="B7" s="86"/>
      <c r="C7" s="440" t="s">
        <v>320</v>
      </c>
      <c r="D7" s="115">
        <v>313</v>
      </c>
      <c r="E7" s="407">
        <v>321</v>
      </c>
      <c r="F7" s="2250">
        <v>351</v>
      </c>
      <c r="G7" s="2251"/>
      <c r="H7" s="391">
        <v>361</v>
      </c>
      <c r="I7" s="408">
        <v>373</v>
      </c>
      <c r="J7" s="7"/>
      <c r="K7" s="7"/>
    </row>
    <row r="8" spans="2:12" ht="30" customHeight="1">
      <c r="B8" s="86"/>
      <c r="C8" s="440" t="s">
        <v>321</v>
      </c>
      <c r="D8" s="115">
        <v>34731</v>
      </c>
      <c r="E8" s="407">
        <v>34992</v>
      </c>
      <c r="F8" s="2250">
        <v>38091</v>
      </c>
      <c r="G8" s="1862"/>
      <c r="H8" s="391">
        <v>39657</v>
      </c>
      <c r="I8" s="408">
        <v>42329</v>
      </c>
      <c r="J8" s="7"/>
      <c r="K8" s="7"/>
    </row>
    <row r="9" spans="2:12" ht="52.5" customHeight="1">
      <c r="B9" s="763" t="s">
        <v>214</v>
      </c>
      <c r="C9" s="466" t="s">
        <v>981</v>
      </c>
      <c r="E9" s="34"/>
      <c r="F9" s="2246"/>
      <c r="G9" s="2247"/>
      <c r="H9" s="110"/>
      <c r="I9" s="31"/>
      <c r="J9" s="7"/>
      <c r="K9" s="7"/>
    </row>
    <row r="10" spans="2:12" ht="30" customHeight="1">
      <c r="B10" s="86"/>
      <c r="C10" s="440" t="s">
        <v>320</v>
      </c>
      <c r="D10" s="424">
        <v>1471</v>
      </c>
      <c r="E10" s="117">
        <v>1788</v>
      </c>
      <c r="F10" s="117" t="s">
        <v>427</v>
      </c>
      <c r="G10" s="531" t="s">
        <v>441</v>
      </c>
      <c r="H10" s="110">
        <v>1405</v>
      </c>
      <c r="I10" s="102">
        <v>427</v>
      </c>
      <c r="J10" s="7"/>
      <c r="K10" s="7"/>
    </row>
    <row r="11" spans="2:12" ht="30" customHeight="1">
      <c r="B11" s="86"/>
      <c r="C11" s="440" t="s">
        <v>321</v>
      </c>
      <c r="D11" s="424">
        <v>7609</v>
      </c>
      <c r="E11" s="117">
        <v>9706</v>
      </c>
      <c r="F11" s="117" t="s">
        <v>428</v>
      </c>
      <c r="G11" s="531" t="s">
        <v>442</v>
      </c>
      <c r="H11" s="110">
        <v>8838</v>
      </c>
      <c r="I11" s="102">
        <v>3439</v>
      </c>
      <c r="J11" s="7"/>
      <c r="K11" s="7"/>
    </row>
    <row r="12" spans="2:12" ht="30" customHeight="1">
      <c r="B12" s="764" t="s">
        <v>215</v>
      </c>
      <c r="C12" s="680" t="s">
        <v>1579</v>
      </c>
      <c r="D12" s="111">
        <v>11311</v>
      </c>
      <c r="E12" s="341">
        <v>11000</v>
      </c>
      <c r="F12" s="2253">
        <v>10885</v>
      </c>
      <c r="G12" s="2254"/>
      <c r="H12" s="443" t="s">
        <v>247</v>
      </c>
      <c r="I12" s="574" t="s">
        <v>918</v>
      </c>
      <c r="J12" s="7"/>
      <c r="K12" s="7"/>
    </row>
    <row r="13" spans="2:12" ht="15.75" customHeight="1">
      <c r="B13" s="765" t="s">
        <v>865</v>
      </c>
      <c r="C13" s="765"/>
      <c r="D13" s="7"/>
      <c r="F13" s="331" t="s">
        <v>455</v>
      </c>
      <c r="G13" s="332" t="s">
        <v>513</v>
      </c>
      <c r="H13" s="332"/>
      <c r="J13" s="7"/>
      <c r="K13" s="7"/>
    </row>
    <row r="14" spans="2:12" ht="14.25" customHeight="1">
      <c r="B14" s="202" t="s">
        <v>866</v>
      </c>
      <c r="C14" s="202"/>
      <c r="F14" s="331" t="s">
        <v>456</v>
      </c>
      <c r="G14" s="332" t="s">
        <v>468</v>
      </c>
      <c r="H14" s="332"/>
      <c r="J14" s="7"/>
      <c r="K14" s="7"/>
    </row>
    <row r="15" spans="2:12" ht="27" customHeight="1">
      <c r="B15" s="887" t="s">
        <v>443</v>
      </c>
      <c r="C15" s="2252" t="s">
        <v>1006</v>
      </c>
      <c r="D15" s="2013"/>
      <c r="E15" s="2013"/>
      <c r="F15" s="885" t="s">
        <v>466</v>
      </c>
      <c r="G15" s="2210" t="s">
        <v>512</v>
      </c>
      <c r="H15" s="2013"/>
      <c r="I15" s="2013"/>
      <c r="J15" s="7"/>
      <c r="K15" s="7"/>
    </row>
    <row r="16" spans="2:12" ht="24.75" customHeight="1">
      <c r="B16" s="870"/>
      <c r="C16" s="2013"/>
      <c r="D16" s="2013"/>
      <c r="E16" s="2013"/>
      <c r="F16" s="886" t="s">
        <v>467</v>
      </c>
      <c r="G16" s="2210" t="s">
        <v>470</v>
      </c>
      <c r="H16" s="2210"/>
      <c r="I16" s="2210"/>
      <c r="J16" s="7"/>
      <c r="K16" s="7"/>
    </row>
    <row r="17" spans="3:12" ht="18" customHeight="1">
      <c r="E17" s="7"/>
      <c r="G17" s="2210"/>
      <c r="H17" s="2210"/>
      <c r="I17" s="2210"/>
      <c r="J17" s="7"/>
      <c r="K17" s="7"/>
    </row>
    <row r="18" spans="3:12" ht="18" customHeight="1">
      <c r="E18" s="7"/>
      <c r="J18" s="7"/>
      <c r="K18" s="7"/>
      <c r="L18" s="7"/>
    </row>
    <row r="19" spans="3:12">
      <c r="C19" s="11"/>
      <c r="D19" s="45"/>
      <c r="E19" s="14"/>
    </row>
    <row r="20" spans="3:12">
      <c r="D20" s="45"/>
      <c r="E20" s="45"/>
      <c r="F20" s="45"/>
      <c r="G20" s="45"/>
      <c r="H20" s="45"/>
      <c r="I20" s="45"/>
    </row>
  </sheetData>
  <mergeCells count="14">
    <mergeCell ref="F7:G7"/>
    <mergeCell ref="F8:G8"/>
    <mergeCell ref="G15:I15"/>
    <mergeCell ref="C15:E16"/>
    <mergeCell ref="G16:I17"/>
    <mergeCell ref="F12:G12"/>
    <mergeCell ref="F9:G9"/>
    <mergeCell ref="F6:G6"/>
    <mergeCell ref="B1:I1"/>
    <mergeCell ref="B5:C5"/>
    <mergeCell ref="B2:I2"/>
    <mergeCell ref="B4:C4"/>
    <mergeCell ref="F4:G4"/>
    <mergeCell ref="F5:G5"/>
  </mergeCells>
  <phoneticPr fontId="0" type="noConversion"/>
  <pageMargins left="0.1" right="0.1" top="1.08" bottom="0.1" header="1" footer="0.1"/>
  <pageSetup paperSize="9" orientation="landscape" blackAndWhite="1" horizontalDpi="4294967295" verticalDpi="144" r:id="rId1"/>
  <headerFooter alignWithMargins="0"/>
</worksheet>
</file>

<file path=xl/worksheets/sheet64.xml><?xml version="1.0" encoding="utf-8"?>
<worksheet xmlns="http://schemas.openxmlformats.org/spreadsheetml/2006/main" xmlns:r="http://schemas.openxmlformats.org/officeDocument/2006/relationships">
  <dimension ref="B1:O31"/>
  <sheetViews>
    <sheetView topLeftCell="B1" workbookViewId="0">
      <selection activeCell="Q12" sqref="Q12"/>
    </sheetView>
  </sheetViews>
  <sheetFormatPr defaultRowHeight="12.75"/>
  <cols>
    <col min="1" max="1" width="13.7109375" customWidth="1"/>
    <col min="2" max="2" width="8.7109375" customWidth="1"/>
    <col min="3" max="3" width="8.85546875" customWidth="1"/>
    <col min="4" max="4" width="10.140625" customWidth="1"/>
    <col min="5" max="5" width="9.42578125" customWidth="1"/>
    <col min="6" max="6" width="9.85546875" customWidth="1"/>
    <col min="7" max="7" width="8.85546875" customWidth="1"/>
    <col min="8" max="8" width="9.5703125" customWidth="1"/>
    <col min="9" max="9" width="8.7109375" customWidth="1"/>
    <col min="10" max="10" width="10" customWidth="1"/>
    <col min="11" max="11" width="8.7109375" customWidth="1"/>
    <col min="12" max="12" width="9.85546875" customWidth="1"/>
    <col min="13" max="13" width="9.28515625" customWidth="1"/>
    <col min="14" max="14" width="10.42578125" customWidth="1"/>
  </cols>
  <sheetData>
    <row r="1" spans="2:14" ht="12.75" customHeight="1">
      <c r="B1" s="2255" t="s">
        <v>728</v>
      </c>
      <c r="C1" s="2255"/>
      <c r="D1" s="2255"/>
      <c r="E1" s="2255"/>
      <c r="F1" s="2255"/>
      <c r="G1" s="2255"/>
      <c r="H1" s="2255"/>
      <c r="I1" s="2255"/>
      <c r="J1" s="2255"/>
      <c r="K1" s="2255"/>
      <c r="L1" s="2255"/>
      <c r="M1" s="2255"/>
      <c r="N1" s="2255"/>
    </row>
    <row r="2" spans="2:14" ht="14.25" customHeight="1">
      <c r="B2" s="2262" t="str">
        <f>CONCATENATE("Number of Establishments in rural and urban areas in the district of ",District!A1)</f>
        <v>Number of Establishments in rural and urban areas in the district of Purba Medinipur</v>
      </c>
      <c r="C2" s="2262"/>
      <c r="D2" s="2262"/>
      <c r="E2" s="2262"/>
      <c r="F2" s="2262"/>
      <c r="G2" s="2262"/>
      <c r="H2" s="2262"/>
      <c r="I2" s="2262"/>
      <c r="J2" s="2262"/>
      <c r="K2" s="2262"/>
      <c r="L2" s="2262"/>
      <c r="M2" s="2262"/>
      <c r="N2" s="2262"/>
    </row>
    <row r="3" spans="2:14" s="791" customFormat="1" ht="13.5" customHeight="1">
      <c r="B3" s="1971" t="s">
        <v>195</v>
      </c>
      <c r="C3" s="2112" t="s">
        <v>637</v>
      </c>
      <c r="D3" s="2112"/>
      <c r="E3" s="2112"/>
      <c r="F3" s="2113"/>
      <c r="G3" s="2111" t="s">
        <v>324</v>
      </c>
      <c r="H3" s="2112"/>
      <c r="I3" s="2112"/>
      <c r="J3" s="2113"/>
      <c r="K3" s="1898" t="s">
        <v>1162</v>
      </c>
      <c r="L3" s="1899"/>
      <c r="M3" s="1899"/>
      <c r="N3" s="2261"/>
    </row>
    <row r="4" spans="2:14" s="319" customFormat="1" ht="15" customHeight="1">
      <c r="B4" s="2263"/>
      <c r="C4" s="1839">
        <v>2005</v>
      </c>
      <c r="D4" s="1840"/>
      <c r="E4" s="1839">
        <v>2013</v>
      </c>
      <c r="F4" s="1840"/>
      <c r="G4" s="1839">
        <v>2005</v>
      </c>
      <c r="H4" s="1840"/>
      <c r="I4" s="1839">
        <v>2013</v>
      </c>
      <c r="J4" s="1840"/>
      <c r="K4" s="1839">
        <v>2005</v>
      </c>
      <c r="L4" s="1840"/>
      <c r="M4" s="1839">
        <v>2013</v>
      </c>
      <c r="N4" s="1840"/>
    </row>
    <row r="5" spans="2:14" s="296" customFormat="1" ht="30" customHeight="1">
      <c r="B5" s="2263"/>
      <c r="C5" s="792" t="s">
        <v>1163</v>
      </c>
      <c r="D5" s="793" t="s">
        <v>1164</v>
      </c>
      <c r="E5" s="792" t="s">
        <v>1163</v>
      </c>
      <c r="F5" s="793" t="s">
        <v>1164</v>
      </c>
      <c r="G5" s="792" t="s">
        <v>1163</v>
      </c>
      <c r="H5" s="793" t="s">
        <v>1164</v>
      </c>
      <c r="I5" s="792" t="s">
        <v>1163</v>
      </c>
      <c r="J5" s="793" t="s">
        <v>1164</v>
      </c>
      <c r="K5" s="792" t="s">
        <v>1163</v>
      </c>
      <c r="L5" s="793" t="s">
        <v>1164</v>
      </c>
      <c r="M5" s="792" t="s">
        <v>1163</v>
      </c>
      <c r="N5" s="793" t="s">
        <v>1164</v>
      </c>
    </row>
    <row r="6" spans="2:14" s="794" customFormat="1" ht="13.5" customHeight="1">
      <c r="B6" s="795" t="s">
        <v>955</v>
      </c>
      <c r="C6" s="796" t="s">
        <v>956</v>
      </c>
      <c r="D6" s="797" t="s">
        <v>957</v>
      </c>
      <c r="E6" s="796" t="s">
        <v>958</v>
      </c>
      <c r="F6" s="797" t="s">
        <v>959</v>
      </c>
      <c r="G6" s="798" t="s">
        <v>961</v>
      </c>
      <c r="H6" s="797" t="s">
        <v>962</v>
      </c>
      <c r="I6" s="796" t="s">
        <v>990</v>
      </c>
      <c r="J6" s="797" t="s">
        <v>991</v>
      </c>
      <c r="K6" s="799" t="s">
        <v>992</v>
      </c>
      <c r="L6" s="800" t="s">
        <v>993</v>
      </c>
      <c r="M6" s="799" t="s">
        <v>1046</v>
      </c>
      <c r="N6" s="800" t="s">
        <v>1048</v>
      </c>
    </row>
    <row r="7" spans="2:14" ht="18" customHeight="1">
      <c r="B7" s="278" t="s">
        <v>1043</v>
      </c>
      <c r="C7" s="104">
        <v>3677</v>
      </c>
      <c r="D7" s="124">
        <v>53987</v>
      </c>
      <c r="E7" s="104">
        <v>3416</v>
      </c>
      <c r="F7" s="124">
        <v>31247</v>
      </c>
      <c r="G7" s="125">
        <v>10542</v>
      </c>
      <c r="H7" s="124">
        <v>160525</v>
      </c>
      <c r="I7" s="104">
        <v>70453</v>
      </c>
      <c r="J7" s="124">
        <v>187325</v>
      </c>
      <c r="K7" s="46">
        <f t="shared" ref="K7:N8" si="0">C7+G7</f>
        <v>14219</v>
      </c>
      <c r="L7" s="46">
        <f t="shared" si="0"/>
        <v>214512</v>
      </c>
      <c r="M7" s="432">
        <f t="shared" si="0"/>
        <v>73869</v>
      </c>
      <c r="N7" s="102">
        <f t="shared" si="0"/>
        <v>218572</v>
      </c>
    </row>
    <row r="8" spans="2:14" ht="18" customHeight="1">
      <c r="B8" s="278" t="s">
        <v>1042</v>
      </c>
      <c r="C8" s="104">
        <v>82</v>
      </c>
      <c r="D8" s="124">
        <v>8192</v>
      </c>
      <c r="E8" s="104">
        <v>155</v>
      </c>
      <c r="F8" s="124">
        <v>10166</v>
      </c>
      <c r="G8" s="125">
        <v>154</v>
      </c>
      <c r="H8" s="124">
        <v>12914</v>
      </c>
      <c r="I8" s="104">
        <v>2191</v>
      </c>
      <c r="J8" s="124">
        <v>33016</v>
      </c>
      <c r="K8" s="46">
        <f t="shared" si="0"/>
        <v>236</v>
      </c>
      <c r="L8" s="102">
        <f t="shared" si="0"/>
        <v>21106</v>
      </c>
      <c r="M8" s="46">
        <f t="shared" si="0"/>
        <v>2346</v>
      </c>
      <c r="N8" s="102">
        <f t="shared" si="0"/>
        <v>43182</v>
      </c>
    </row>
    <row r="9" spans="2:14" ht="18" customHeight="1">
      <c r="B9" s="283" t="s">
        <v>979</v>
      </c>
      <c r="C9" s="1715">
        <f t="shared" ref="C9:D9" si="1">C8+C7</f>
        <v>3759</v>
      </c>
      <c r="D9" s="1709">
        <f t="shared" si="1"/>
        <v>62179</v>
      </c>
      <c r="E9" s="28">
        <f t="shared" ref="E9:N9" si="2">E8+E7</f>
        <v>3571</v>
      </c>
      <c r="F9" s="116">
        <f t="shared" si="2"/>
        <v>41413</v>
      </c>
      <c r="G9" s="1715">
        <f t="shared" ref="G9:H9" si="3">G8+G7</f>
        <v>10696</v>
      </c>
      <c r="H9" s="1709">
        <f t="shared" si="3"/>
        <v>173439</v>
      </c>
      <c r="I9" s="28">
        <f t="shared" si="2"/>
        <v>72644</v>
      </c>
      <c r="J9" s="116">
        <f t="shared" si="2"/>
        <v>220341</v>
      </c>
      <c r="K9" s="28">
        <f t="shared" si="2"/>
        <v>14455</v>
      </c>
      <c r="L9" s="116">
        <f t="shared" si="2"/>
        <v>235618</v>
      </c>
      <c r="M9" s="28">
        <f t="shared" si="2"/>
        <v>76215</v>
      </c>
      <c r="N9" s="116">
        <f t="shared" si="2"/>
        <v>261754</v>
      </c>
    </row>
    <row r="10" spans="2:14">
      <c r="K10" s="678"/>
      <c r="L10" s="678"/>
      <c r="M10" s="678"/>
      <c r="N10" s="1110" t="s">
        <v>1693</v>
      </c>
    </row>
    <row r="11" spans="2:14">
      <c r="K11" s="2260"/>
      <c r="L11" s="2260"/>
      <c r="M11" s="2260"/>
      <c r="N11" s="2260"/>
    </row>
    <row r="12" spans="2:14">
      <c r="B12" s="2255" t="s">
        <v>1580</v>
      </c>
      <c r="C12" s="2255"/>
      <c r="D12" s="2255"/>
      <c r="E12" s="2255"/>
      <c r="F12" s="2255"/>
      <c r="G12" s="2255"/>
      <c r="H12" s="2255"/>
      <c r="I12" s="2255"/>
      <c r="J12" s="2255"/>
      <c r="K12" s="2255"/>
      <c r="L12" s="2255"/>
      <c r="M12" s="2255"/>
      <c r="N12" s="2255"/>
    </row>
    <row r="13" spans="2:14" ht="16.5" customHeight="1">
      <c r="B13" s="2262" t="str">
        <f>CONCATENATE("Number of Persons usually working in rural and urban Establishments in the district of ",District!A1)</f>
        <v>Number of Persons usually working in rural and urban Establishments in the district of Purba Medinipur</v>
      </c>
      <c r="C13" s="2262"/>
      <c r="D13" s="2262"/>
      <c r="E13" s="2262"/>
      <c r="F13" s="2262"/>
      <c r="G13" s="2262"/>
      <c r="H13" s="2262"/>
      <c r="I13" s="2262"/>
      <c r="J13" s="2262"/>
      <c r="K13" s="2262"/>
      <c r="L13" s="2262"/>
      <c r="M13" s="2262"/>
      <c r="N13" s="2262"/>
    </row>
    <row r="14" spans="2:14" s="319" customFormat="1" ht="16.5" customHeight="1">
      <c r="B14" s="1971" t="s">
        <v>195</v>
      </c>
      <c r="C14" s="2112" t="s">
        <v>637</v>
      </c>
      <c r="D14" s="2112"/>
      <c r="E14" s="2112"/>
      <c r="F14" s="2113"/>
      <c r="G14" s="2111" t="s">
        <v>324</v>
      </c>
      <c r="H14" s="2112"/>
      <c r="I14" s="2112"/>
      <c r="J14" s="2113"/>
      <c r="K14" s="1898" t="s">
        <v>1162</v>
      </c>
      <c r="L14" s="1899"/>
      <c r="M14" s="1899"/>
      <c r="N14" s="2261"/>
    </row>
    <row r="15" spans="2:14" s="319" customFormat="1" ht="15" customHeight="1">
      <c r="B15" s="2263"/>
      <c r="C15" s="1839">
        <v>2005</v>
      </c>
      <c r="D15" s="1840"/>
      <c r="E15" s="1839">
        <v>2013</v>
      </c>
      <c r="F15" s="1840"/>
      <c r="G15" s="1839">
        <v>2005</v>
      </c>
      <c r="H15" s="1840"/>
      <c r="I15" s="1839">
        <v>2013</v>
      </c>
      <c r="J15" s="1840"/>
      <c r="K15" s="1839">
        <v>2005</v>
      </c>
      <c r="L15" s="1840"/>
      <c r="M15" s="1839">
        <v>2013</v>
      </c>
      <c r="N15" s="1840"/>
    </row>
    <row r="16" spans="2:14" s="296" customFormat="1" ht="30" customHeight="1">
      <c r="B16" s="2263"/>
      <c r="C16" s="792" t="s">
        <v>1163</v>
      </c>
      <c r="D16" s="793" t="s">
        <v>1164</v>
      </c>
      <c r="E16" s="792" t="s">
        <v>1163</v>
      </c>
      <c r="F16" s="793" t="s">
        <v>1164</v>
      </c>
      <c r="G16" s="792" t="s">
        <v>1163</v>
      </c>
      <c r="H16" s="793" t="s">
        <v>1164</v>
      </c>
      <c r="I16" s="792" t="s">
        <v>1163</v>
      </c>
      <c r="J16" s="793" t="s">
        <v>1164</v>
      </c>
      <c r="K16" s="792" t="s">
        <v>1163</v>
      </c>
      <c r="L16" s="793" t="s">
        <v>1164</v>
      </c>
      <c r="M16" s="792" t="s">
        <v>1163</v>
      </c>
      <c r="N16" s="793" t="s">
        <v>1164</v>
      </c>
    </row>
    <row r="17" spans="2:15" s="794" customFormat="1" ht="16.5" customHeight="1">
      <c r="B17" s="795" t="s">
        <v>955</v>
      </c>
      <c r="C17" s="796" t="s">
        <v>956</v>
      </c>
      <c r="D17" s="797" t="s">
        <v>957</v>
      </c>
      <c r="E17" s="796" t="s">
        <v>958</v>
      </c>
      <c r="F17" s="797" t="s">
        <v>959</v>
      </c>
      <c r="G17" s="798" t="s">
        <v>961</v>
      </c>
      <c r="H17" s="797" t="s">
        <v>962</v>
      </c>
      <c r="I17" s="796" t="s">
        <v>990</v>
      </c>
      <c r="J17" s="797" t="s">
        <v>991</v>
      </c>
      <c r="K17" s="799" t="s">
        <v>992</v>
      </c>
      <c r="L17" s="800" t="s">
        <v>993</v>
      </c>
      <c r="M17" s="799" t="s">
        <v>1046</v>
      </c>
      <c r="N17" s="800" t="s">
        <v>1048</v>
      </c>
    </row>
    <row r="18" spans="2:15" ht="18" customHeight="1">
      <c r="B18" s="278" t="s">
        <v>1043</v>
      </c>
      <c r="C18" s="104">
        <v>14301</v>
      </c>
      <c r="D18" s="124">
        <v>213860</v>
      </c>
      <c r="E18" s="104">
        <v>14304</v>
      </c>
      <c r="F18" s="124">
        <v>135658</v>
      </c>
      <c r="G18" s="125">
        <v>15696</v>
      </c>
      <c r="H18" s="124">
        <v>198746</v>
      </c>
      <c r="I18" s="104">
        <v>92562</v>
      </c>
      <c r="J18" s="124">
        <v>271793</v>
      </c>
      <c r="K18" s="46">
        <f t="shared" ref="K18:N19" si="4">C18+G18</f>
        <v>29997</v>
      </c>
      <c r="L18" s="102">
        <f t="shared" si="4"/>
        <v>412606</v>
      </c>
      <c r="M18" s="46">
        <f t="shared" si="4"/>
        <v>106866</v>
      </c>
      <c r="N18" s="102">
        <f t="shared" si="4"/>
        <v>407451</v>
      </c>
    </row>
    <row r="19" spans="2:15" ht="18" customHeight="1">
      <c r="B19" s="278" t="s">
        <v>1042</v>
      </c>
      <c r="C19" s="104">
        <v>283</v>
      </c>
      <c r="D19" s="124">
        <v>59587</v>
      </c>
      <c r="E19" s="104">
        <v>585</v>
      </c>
      <c r="F19" s="124">
        <v>45691</v>
      </c>
      <c r="G19" s="125">
        <v>259</v>
      </c>
      <c r="H19" s="124">
        <v>15827</v>
      </c>
      <c r="I19" s="104">
        <v>2587</v>
      </c>
      <c r="J19" s="124">
        <v>40439</v>
      </c>
      <c r="K19" s="46">
        <f t="shared" si="4"/>
        <v>542</v>
      </c>
      <c r="L19" s="102">
        <f t="shared" si="4"/>
        <v>75414</v>
      </c>
      <c r="M19" s="46">
        <f t="shared" si="4"/>
        <v>3172</v>
      </c>
      <c r="N19" s="102">
        <f t="shared" si="4"/>
        <v>86130</v>
      </c>
    </row>
    <row r="20" spans="2:15" ht="18" customHeight="1">
      <c r="B20" s="283" t="s">
        <v>979</v>
      </c>
      <c r="C20" s="1715">
        <f t="shared" ref="C20:D20" si="5">C19+C18</f>
        <v>14584</v>
      </c>
      <c r="D20" s="1709">
        <f t="shared" si="5"/>
        <v>273447</v>
      </c>
      <c r="E20" s="28">
        <f t="shared" ref="E20:N20" si="6">E19+E18</f>
        <v>14889</v>
      </c>
      <c r="F20" s="116">
        <f t="shared" si="6"/>
        <v>181349</v>
      </c>
      <c r="G20" s="1715">
        <f t="shared" ref="G20:H20" si="7">G19+G18</f>
        <v>15955</v>
      </c>
      <c r="H20" s="1709">
        <f t="shared" si="7"/>
        <v>214573</v>
      </c>
      <c r="I20" s="28">
        <f t="shared" si="6"/>
        <v>95149</v>
      </c>
      <c r="J20" s="116">
        <f t="shared" si="6"/>
        <v>312232</v>
      </c>
      <c r="K20" s="28">
        <f t="shared" si="6"/>
        <v>30539</v>
      </c>
      <c r="L20" s="116">
        <f t="shared" si="6"/>
        <v>488020</v>
      </c>
      <c r="M20" s="28">
        <f t="shared" si="6"/>
        <v>110038</v>
      </c>
      <c r="N20" s="116">
        <f t="shared" si="6"/>
        <v>493581</v>
      </c>
    </row>
    <row r="21" spans="2:15">
      <c r="K21" s="319"/>
      <c r="L21" s="678"/>
      <c r="M21" s="678"/>
      <c r="N21" s="1110" t="s">
        <v>1693</v>
      </c>
      <c r="O21" s="319"/>
    </row>
    <row r="22" spans="2:15">
      <c r="K22" s="319"/>
      <c r="L22" s="678"/>
      <c r="M22" s="678"/>
      <c r="N22" s="801"/>
      <c r="O22" s="319"/>
    </row>
    <row r="23" spans="2:15">
      <c r="C23" s="2255" t="s">
        <v>813</v>
      </c>
      <c r="D23" s="2255"/>
      <c r="E23" s="2255"/>
      <c r="F23" s="2255"/>
      <c r="G23" s="2255"/>
      <c r="H23" s="2255"/>
      <c r="I23" s="2255"/>
      <c r="J23" s="2255"/>
      <c r="K23" s="2255"/>
      <c r="L23" s="2255"/>
      <c r="M23" s="2255"/>
      <c r="N23" s="327"/>
      <c r="O23" s="319"/>
    </row>
    <row r="24" spans="2:15" ht="32.25" customHeight="1">
      <c r="C24" s="2273" t="str">
        <f>CONCATENATE("Percentage of Hired Workers and Females employed in Non-agricultural
 Establishments in the district of ",District!A1)</f>
        <v>Percentage of Hired Workers and Females employed in Non-agricultural
 Establishments in the district of Purba Medinipur</v>
      </c>
      <c r="D24" s="2273"/>
      <c r="E24" s="2273"/>
      <c r="F24" s="2273"/>
      <c r="G24" s="2273"/>
      <c r="H24" s="2273"/>
      <c r="I24" s="2273"/>
      <c r="J24" s="2273"/>
      <c r="K24" s="2273"/>
      <c r="L24" s="2273"/>
      <c r="M24" s="2273"/>
    </row>
    <row r="25" spans="2:15" ht="15" customHeight="1">
      <c r="C25" s="2167" t="s">
        <v>195</v>
      </c>
      <c r="D25" s="2274"/>
      <c r="E25" s="2168"/>
      <c r="F25" s="2111" t="s">
        <v>201</v>
      </c>
      <c r="G25" s="2112"/>
      <c r="H25" s="2112"/>
      <c r="I25" s="2113"/>
      <c r="J25" s="2111" t="s">
        <v>202</v>
      </c>
      <c r="K25" s="2112"/>
      <c r="L25" s="2112"/>
      <c r="M25" s="2113"/>
    </row>
    <row r="26" spans="2:15" ht="15" customHeight="1">
      <c r="C26" s="2275"/>
      <c r="D26" s="2276"/>
      <c r="E26" s="2277"/>
      <c r="F26" s="1839">
        <v>2005</v>
      </c>
      <c r="G26" s="1840"/>
      <c r="H26" s="1839">
        <v>2013</v>
      </c>
      <c r="I26" s="1840"/>
      <c r="J26" s="1839">
        <v>2005</v>
      </c>
      <c r="K26" s="1840"/>
      <c r="L26" s="1839">
        <v>2013</v>
      </c>
      <c r="M26" s="1840"/>
    </row>
    <row r="27" spans="2:15" ht="16.5" customHeight="1">
      <c r="C27" s="2257" t="s">
        <v>955</v>
      </c>
      <c r="D27" s="2259"/>
      <c r="E27" s="2258"/>
      <c r="F27" s="2257" t="s">
        <v>956</v>
      </c>
      <c r="G27" s="2259"/>
      <c r="H27" s="2257" t="s">
        <v>957</v>
      </c>
      <c r="I27" s="2258"/>
      <c r="J27" s="2257" t="s">
        <v>958</v>
      </c>
      <c r="K27" s="2259"/>
      <c r="L27" s="2257" t="s">
        <v>959</v>
      </c>
      <c r="M27" s="2258"/>
    </row>
    <row r="28" spans="2:15" ht="18" customHeight="1">
      <c r="C28" s="1847" t="s">
        <v>1043</v>
      </c>
      <c r="D28" s="2137"/>
      <c r="E28" s="1848"/>
      <c r="F28" s="1957">
        <v>41.97</v>
      </c>
      <c r="G28" s="2266"/>
      <c r="H28" s="1957">
        <v>24.51</v>
      </c>
      <c r="I28" s="1958"/>
      <c r="J28" s="2269">
        <v>13.44</v>
      </c>
      <c r="K28" s="2271"/>
      <c r="L28" s="2269">
        <v>27.34</v>
      </c>
      <c r="M28" s="2270"/>
    </row>
    <row r="29" spans="2:15" ht="18" customHeight="1">
      <c r="C29" s="1847" t="s">
        <v>1042</v>
      </c>
      <c r="D29" s="2137"/>
      <c r="E29" s="1848"/>
      <c r="F29" s="2264">
        <v>69.400000000000006</v>
      </c>
      <c r="G29" s="2265"/>
      <c r="H29" s="2264">
        <v>41.35</v>
      </c>
      <c r="I29" s="2272"/>
      <c r="J29" s="2269">
        <v>6.92</v>
      </c>
      <c r="K29" s="2271"/>
      <c r="L29" s="2267">
        <v>16.7</v>
      </c>
      <c r="M29" s="2268"/>
    </row>
    <row r="30" spans="2:15" ht="18" customHeight="1">
      <c r="C30" s="1849" t="s">
        <v>979</v>
      </c>
      <c r="D30" s="2136"/>
      <c r="E30" s="1850"/>
      <c r="F30" s="1962">
        <v>46.21</v>
      </c>
      <c r="G30" s="2256"/>
      <c r="H30" s="1962">
        <v>27.45</v>
      </c>
      <c r="I30" s="2256"/>
      <c r="J30" s="1962">
        <v>12.43</v>
      </c>
      <c r="K30" s="2256"/>
      <c r="L30" s="1962">
        <v>25.48</v>
      </c>
      <c r="M30" s="1963"/>
    </row>
    <row r="31" spans="2:15">
      <c r="D31" s="319"/>
      <c r="E31" s="319"/>
      <c r="J31" s="678"/>
      <c r="K31" s="678"/>
      <c r="L31" s="678"/>
      <c r="M31" s="1110" t="s">
        <v>1693</v>
      </c>
    </row>
  </sheetData>
  <mergeCells count="54">
    <mergeCell ref="B2:N2"/>
    <mergeCell ref="I4:J4"/>
    <mergeCell ref="G3:J3"/>
    <mergeCell ref="B3:B5"/>
    <mergeCell ref="K3:N3"/>
    <mergeCell ref="K4:L4"/>
    <mergeCell ref="M4:N4"/>
    <mergeCell ref="C3:F3"/>
    <mergeCell ref="C4:D4"/>
    <mergeCell ref="E4:F4"/>
    <mergeCell ref="G4:H4"/>
    <mergeCell ref="J25:M25"/>
    <mergeCell ref="F25:I25"/>
    <mergeCell ref="C24:M24"/>
    <mergeCell ref="C25:E26"/>
    <mergeCell ref="F26:G26"/>
    <mergeCell ref="H26:I26"/>
    <mergeCell ref="J26:K26"/>
    <mergeCell ref="J27:K27"/>
    <mergeCell ref="J29:K29"/>
    <mergeCell ref="J28:K28"/>
    <mergeCell ref="H29:I29"/>
    <mergeCell ref="H28:I28"/>
    <mergeCell ref="H30:I30"/>
    <mergeCell ref="F29:G29"/>
    <mergeCell ref="F28:G28"/>
    <mergeCell ref="F30:G30"/>
    <mergeCell ref="L30:M30"/>
    <mergeCell ref="L29:M29"/>
    <mergeCell ref="L28:M28"/>
    <mergeCell ref="K14:N14"/>
    <mergeCell ref="C15:D15"/>
    <mergeCell ref="E15:F15"/>
    <mergeCell ref="G15:H15"/>
    <mergeCell ref="B13:N13"/>
    <mergeCell ref="B14:B16"/>
    <mergeCell ref="I15:J15"/>
    <mergeCell ref="K15:L15"/>
    <mergeCell ref="B1:N1"/>
    <mergeCell ref="B12:N12"/>
    <mergeCell ref="C23:M23"/>
    <mergeCell ref="J30:K30"/>
    <mergeCell ref="L26:M26"/>
    <mergeCell ref="L27:M27"/>
    <mergeCell ref="C27:E27"/>
    <mergeCell ref="F27:G27"/>
    <mergeCell ref="H27:I27"/>
    <mergeCell ref="C29:E29"/>
    <mergeCell ref="C28:E28"/>
    <mergeCell ref="C30:E30"/>
    <mergeCell ref="K11:N11"/>
    <mergeCell ref="M15:N15"/>
    <mergeCell ref="C14:F14"/>
    <mergeCell ref="G14:J14"/>
  </mergeCells>
  <phoneticPr fontId="0" type="noConversion"/>
  <pageMargins left="0.15" right="0.1" top="0.79" bottom="0.1" header="0.53" footer="0.1"/>
  <pageSetup paperSize="9" orientation="landscape" blackAndWhite="1" r:id="rId1"/>
  <headerFooter alignWithMargins="0"/>
</worksheet>
</file>

<file path=xl/worksheets/sheet65.xml><?xml version="1.0" encoding="utf-8"?>
<worksheet xmlns="http://schemas.openxmlformats.org/spreadsheetml/2006/main" xmlns:r="http://schemas.openxmlformats.org/officeDocument/2006/relationships">
  <dimension ref="A1:L28"/>
  <sheetViews>
    <sheetView topLeftCell="A7" workbookViewId="0">
      <selection activeCell="I10" sqref="I10"/>
    </sheetView>
  </sheetViews>
  <sheetFormatPr defaultRowHeight="12.75"/>
  <cols>
    <col min="1" max="1" width="20.7109375" customWidth="1"/>
    <col min="2" max="6" width="12.42578125" customWidth="1"/>
  </cols>
  <sheetData>
    <row r="1" spans="1:12" ht="19.5" customHeight="1">
      <c r="A1" s="1825" t="s">
        <v>726</v>
      </c>
      <c r="B1" s="1825"/>
      <c r="C1" s="1825"/>
      <c r="D1" s="1825"/>
      <c r="E1" s="1825"/>
      <c r="F1" s="1825"/>
    </row>
    <row r="2" spans="1:12" ht="33.75" customHeight="1">
      <c r="A2" s="1857" t="str">
        <f>CONCATENATE(" Applicants on the Live-register of Employment Exchanges
 in the district of ",District!A1," by main occupational group")</f>
        <v xml:space="preserve"> Applicants on the Live-register of Employment Exchanges
 in the district of Purba Medinipur by main occupational group</v>
      </c>
      <c r="B2" s="1857"/>
      <c r="C2" s="1857"/>
      <c r="D2" s="1857"/>
      <c r="E2" s="1857"/>
      <c r="F2" s="1857"/>
      <c r="G2" s="47"/>
      <c r="H2" s="37"/>
    </row>
    <row r="3" spans="1:12" ht="12" customHeight="1">
      <c r="A3" s="7"/>
      <c r="B3" s="23"/>
      <c r="C3" s="23"/>
      <c r="D3" s="23"/>
      <c r="E3" s="23"/>
      <c r="F3" s="227" t="s">
        <v>1001</v>
      </c>
      <c r="G3" s="37"/>
      <c r="H3" s="37"/>
    </row>
    <row r="4" spans="1:12" ht="20.100000000000001" customHeight="1">
      <c r="A4" s="133" t="s">
        <v>330</v>
      </c>
      <c r="B4" s="133">
        <v>2010</v>
      </c>
      <c r="C4" s="1551">
        <v>2011</v>
      </c>
      <c r="D4" s="1551">
        <v>2012</v>
      </c>
      <c r="E4" s="1551">
        <v>2013</v>
      </c>
      <c r="F4" s="163">
        <v>2014</v>
      </c>
      <c r="G4" s="46"/>
      <c r="H4" s="7"/>
    </row>
    <row r="5" spans="1:12" ht="20.100000000000001" customHeight="1">
      <c r="A5" s="134" t="s">
        <v>955</v>
      </c>
      <c r="B5" s="135" t="s">
        <v>956</v>
      </c>
      <c r="C5" s="134" t="s">
        <v>957</v>
      </c>
      <c r="D5" s="272" t="s">
        <v>958</v>
      </c>
      <c r="E5" s="134" t="s">
        <v>959</v>
      </c>
      <c r="F5" s="136" t="s">
        <v>961</v>
      </c>
      <c r="G5" s="39"/>
      <c r="H5" s="1663"/>
      <c r="I5" s="1663"/>
      <c r="J5" s="1662"/>
      <c r="K5" s="1662"/>
      <c r="L5" s="7"/>
    </row>
    <row r="6" spans="1:12" ht="36" customHeight="1">
      <c r="A6" s="435" t="s">
        <v>206</v>
      </c>
      <c r="B6" s="92">
        <v>2607</v>
      </c>
      <c r="C6" s="92">
        <v>2754</v>
      </c>
      <c r="D6" s="1552">
        <v>2884</v>
      </c>
      <c r="E6" s="92">
        <v>3299</v>
      </c>
      <c r="F6" s="92">
        <v>3535</v>
      </c>
      <c r="G6" s="7"/>
      <c r="H6" s="434"/>
      <c r="I6" s="434"/>
      <c r="J6" s="434"/>
      <c r="K6" s="434"/>
      <c r="L6" s="1660"/>
    </row>
    <row r="7" spans="1:12" ht="36" customHeight="1">
      <c r="A7" s="281" t="s">
        <v>1216</v>
      </c>
      <c r="B7" s="1556">
        <v>11397</v>
      </c>
      <c r="C7" s="1556">
        <v>14015</v>
      </c>
      <c r="D7" s="1552">
        <v>15747</v>
      </c>
      <c r="E7" s="1556">
        <v>18898</v>
      </c>
      <c r="F7" s="110">
        <v>20716</v>
      </c>
      <c r="G7" s="7"/>
      <c r="H7" s="434"/>
      <c r="I7" s="434"/>
      <c r="J7" s="434"/>
      <c r="K7" s="434"/>
      <c r="L7" s="1660"/>
    </row>
    <row r="8" spans="1:12" ht="36" customHeight="1">
      <c r="A8" s="281" t="s">
        <v>207</v>
      </c>
      <c r="B8" s="1556">
        <v>36580</v>
      </c>
      <c r="C8" s="1556">
        <v>38472</v>
      </c>
      <c r="D8" s="1552">
        <v>39334</v>
      </c>
      <c r="E8" s="1556">
        <v>43324</v>
      </c>
      <c r="F8" s="110">
        <v>45451</v>
      </c>
      <c r="G8" s="7"/>
      <c r="H8" s="434"/>
      <c r="I8" s="434"/>
      <c r="J8" s="434"/>
      <c r="K8" s="434"/>
      <c r="L8" s="1660"/>
    </row>
    <row r="9" spans="1:12" ht="36" customHeight="1">
      <c r="A9" s="1058" t="s">
        <v>208</v>
      </c>
      <c r="B9" s="1556">
        <v>16398</v>
      </c>
      <c r="C9" s="1556">
        <v>16956</v>
      </c>
      <c r="D9" s="1552">
        <v>18155</v>
      </c>
      <c r="E9" s="1556">
        <v>19630</v>
      </c>
      <c r="F9" s="110">
        <v>20739</v>
      </c>
      <c r="G9" s="7"/>
      <c r="H9" s="434"/>
      <c r="I9" s="434"/>
      <c r="J9" s="434"/>
      <c r="K9" s="434"/>
      <c r="L9" s="1660"/>
    </row>
    <row r="10" spans="1:12" ht="36" customHeight="1">
      <c r="A10" s="281" t="s">
        <v>188</v>
      </c>
      <c r="B10" s="1556">
        <v>1598</v>
      </c>
      <c r="C10" s="1556">
        <v>1930</v>
      </c>
      <c r="D10" s="1552">
        <v>1972</v>
      </c>
      <c r="E10" s="1556">
        <v>2618</v>
      </c>
      <c r="F10" s="110">
        <v>2819</v>
      </c>
      <c r="G10" s="7"/>
      <c r="H10" s="434"/>
      <c r="I10" s="434"/>
      <c r="J10" s="434"/>
      <c r="K10" s="434"/>
      <c r="L10" s="1660"/>
    </row>
    <row r="11" spans="1:12" ht="36" customHeight="1">
      <c r="A11" s="281" t="s">
        <v>209</v>
      </c>
      <c r="B11" s="1556">
        <v>74315</v>
      </c>
      <c r="C11" s="1556">
        <v>75359</v>
      </c>
      <c r="D11" s="1552">
        <v>77934</v>
      </c>
      <c r="E11" s="1556">
        <v>86272</v>
      </c>
      <c r="F11" s="110">
        <v>88365</v>
      </c>
      <c r="G11" s="7"/>
      <c r="H11" s="434"/>
      <c r="I11" s="434"/>
      <c r="J11" s="434"/>
      <c r="K11" s="434"/>
      <c r="L11" s="1660"/>
    </row>
    <row r="12" spans="1:12" ht="36" customHeight="1">
      <c r="A12" s="677" t="s">
        <v>1128</v>
      </c>
      <c r="B12" s="1556">
        <v>220949</v>
      </c>
      <c r="C12" s="1556">
        <v>228452</v>
      </c>
      <c r="D12" s="1552">
        <v>238688</v>
      </c>
      <c r="E12" s="1556">
        <v>245171</v>
      </c>
      <c r="F12" s="110">
        <v>250323</v>
      </c>
      <c r="G12" s="7"/>
      <c r="H12" s="434"/>
      <c r="I12" s="434"/>
      <c r="J12" s="434"/>
      <c r="K12" s="434"/>
      <c r="L12" s="1660"/>
    </row>
    <row r="13" spans="1:12" ht="20.100000000000001" customHeight="1">
      <c r="A13" s="276" t="s">
        <v>210</v>
      </c>
      <c r="B13" s="275">
        <f>SUM(B6:B12)</f>
        <v>363844</v>
      </c>
      <c r="C13" s="138">
        <f>SUM(C6:C12)</f>
        <v>377938</v>
      </c>
      <c r="D13" s="275">
        <f>SUM(D6:D12)</f>
        <v>394714</v>
      </c>
      <c r="E13" s="139">
        <f>SUM(E6:E12)</f>
        <v>419212</v>
      </c>
      <c r="F13" s="139">
        <f>SUM(F6:F12)</f>
        <v>431948</v>
      </c>
      <c r="G13" s="7"/>
      <c r="H13" s="1661"/>
      <c r="I13" s="1661"/>
      <c r="J13" s="1661"/>
      <c r="K13" s="1661"/>
      <c r="L13" s="1661"/>
    </row>
    <row r="14" spans="1:12" ht="15" customHeight="1">
      <c r="B14" s="2278" t="s">
        <v>675</v>
      </c>
      <c r="C14" s="2278"/>
      <c r="D14" s="2278"/>
      <c r="E14" s="2278"/>
      <c r="F14" s="2278"/>
      <c r="G14" s="7"/>
      <c r="H14" s="7"/>
      <c r="I14" s="7"/>
      <c r="J14" s="7"/>
      <c r="K14" s="7"/>
      <c r="L14" s="7"/>
    </row>
    <row r="15" spans="1:12" ht="15" customHeight="1">
      <c r="B15" s="1103"/>
      <c r="C15" s="1103"/>
      <c r="D15" s="1103"/>
      <c r="E15" s="1103"/>
      <c r="F15" s="1103"/>
      <c r="G15" s="7"/>
      <c r="H15" s="7"/>
      <c r="I15" s="7"/>
      <c r="J15" s="7"/>
      <c r="K15" s="7"/>
      <c r="L15" s="7"/>
    </row>
    <row r="16" spans="1:12" ht="15" customHeight="1">
      <c r="B16" s="1794"/>
      <c r="C16" s="1794"/>
      <c r="D16" s="1794"/>
      <c r="E16" s="1794"/>
      <c r="F16" s="1794"/>
      <c r="G16" s="7"/>
      <c r="H16" s="7"/>
      <c r="I16" s="7"/>
      <c r="J16" s="7"/>
      <c r="K16" s="7"/>
      <c r="L16" s="7"/>
    </row>
    <row r="17" spans="1:8" ht="18" customHeight="1">
      <c r="B17" s="7"/>
      <c r="C17" s="7"/>
      <c r="D17" s="7"/>
      <c r="E17" s="7"/>
      <c r="F17" s="7"/>
      <c r="G17" s="7"/>
    </row>
    <row r="18" spans="1:8" ht="18" customHeight="1">
      <c r="B18" s="7"/>
      <c r="C18" s="7"/>
      <c r="D18" s="7"/>
      <c r="E18" s="7"/>
      <c r="F18" s="7"/>
      <c r="G18" s="7"/>
    </row>
    <row r="19" spans="1:8" ht="18" customHeight="1">
      <c r="A19" s="1825" t="s">
        <v>727</v>
      </c>
      <c r="B19" s="1825"/>
      <c r="C19" s="1825"/>
      <c r="D19" s="1825"/>
      <c r="E19" s="1825"/>
      <c r="F19" s="1825"/>
      <c r="G19" s="7"/>
    </row>
    <row r="20" spans="1:8" ht="34.5" customHeight="1">
      <c r="A20" s="1857" t="str">
        <f>CONCATENATE("Registration and Placement effected by Employment Exchanges 
in the district of ",District!A1)</f>
        <v>Registration and Placement effected by Employment Exchanges 
in the district of Purba Medinipur</v>
      </c>
      <c r="B20" s="1857"/>
      <c r="C20" s="1857"/>
      <c r="D20" s="1857"/>
      <c r="E20" s="1857"/>
      <c r="F20" s="1857"/>
      <c r="G20" s="7"/>
    </row>
    <row r="21" spans="1:8" ht="14.25" customHeight="1">
      <c r="A21" s="7"/>
      <c r="B21" s="23"/>
      <c r="C21" s="23"/>
      <c r="D21" s="23"/>
      <c r="E21" s="23"/>
      <c r="F21" s="227" t="s">
        <v>1001</v>
      </c>
      <c r="G21" s="7"/>
    </row>
    <row r="22" spans="1:8" ht="18" customHeight="1">
      <c r="A22" s="164" t="s">
        <v>1590</v>
      </c>
      <c r="B22" s="133">
        <v>2010</v>
      </c>
      <c r="C22" s="1551">
        <v>2011</v>
      </c>
      <c r="D22" s="1551">
        <v>2012</v>
      </c>
      <c r="E22" s="1551">
        <v>2013</v>
      </c>
      <c r="F22" s="1551">
        <v>2014</v>
      </c>
      <c r="G22" s="7"/>
    </row>
    <row r="23" spans="1:8" ht="18" customHeight="1">
      <c r="A23" s="134" t="s">
        <v>955</v>
      </c>
      <c r="B23" s="135" t="s">
        <v>956</v>
      </c>
      <c r="C23" s="134" t="s">
        <v>957</v>
      </c>
      <c r="D23" s="272" t="s">
        <v>958</v>
      </c>
      <c r="E23" s="134" t="s">
        <v>959</v>
      </c>
      <c r="F23" s="134" t="s">
        <v>961</v>
      </c>
      <c r="G23" s="7"/>
      <c r="H23" s="7"/>
    </row>
    <row r="24" spans="1:8" ht="40.5" customHeight="1">
      <c r="A24" s="1462" t="s">
        <v>491</v>
      </c>
      <c r="B24" s="92">
        <v>16000</v>
      </c>
      <c r="C24" s="92">
        <v>15482</v>
      </c>
      <c r="D24" s="1552">
        <v>16273</v>
      </c>
      <c r="E24" s="92">
        <v>27594</v>
      </c>
      <c r="F24" s="92">
        <v>13676</v>
      </c>
    </row>
    <row r="25" spans="1:8" ht="40.5" customHeight="1">
      <c r="A25" s="1058" t="s">
        <v>494</v>
      </c>
      <c r="B25" s="1556">
        <v>37</v>
      </c>
      <c r="C25" s="1556">
        <v>26</v>
      </c>
      <c r="D25" s="1552">
        <v>17</v>
      </c>
      <c r="E25" s="1556">
        <v>30</v>
      </c>
      <c r="F25" s="110">
        <v>16</v>
      </c>
    </row>
    <row r="26" spans="1:8" ht="40.5" customHeight="1">
      <c r="A26" s="1058" t="s">
        <v>495</v>
      </c>
      <c r="B26" s="1556">
        <v>360</v>
      </c>
      <c r="C26" s="1556">
        <v>156</v>
      </c>
      <c r="D26" s="1552">
        <v>272</v>
      </c>
      <c r="E26" s="1556">
        <v>67</v>
      </c>
      <c r="F26" s="110">
        <v>123</v>
      </c>
    </row>
    <row r="27" spans="1:8" ht="40.5" customHeight="1">
      <c r="A27" s="1570" t="s">
        <v>496</v>
      </c>
      <c r="B27" s="1555">
        <v>363844</v>
      </c>
      <c r="C27" s="1555">
        <v>377938</v>
      </c>
      <c r="D27" s="1553">
        <v>394714</v>
      </c>
      <c r="E27" s="1555">
        <v>419212</v>
      </c>
      <c r="F27" s="111">
        <v>431948</v>
      </c>
    </row>
    <row r="28" spans="1:8">
      <c r="A28" s="247"/>
      <c r="B28" s="2278" t="s">
        <v>675</v>
      </c>
      <c r="C28" s="2278"/>
      <c r="D28" s="2278"/>
      <c r="E28" s="2278"/>
      <c r="F28" s="2278"/>
    </row>
  </sheetData>
  <mergeCells count="6">
    <mergeCell ref="B28:F28"/>
    <mergeCell ref="A1:F1"/>
    <mergeCell ref="A19:F19"/>
    <mergeCell ref="A20:F20"/>
    <mergeCell ref="A2:F2"/>
    <mergeCell ref="B14:F14"/>
  </mergeCells>
  <phoneticPr fontId="0" type="noConversion"/>
  <printOptions horizontalCentered="1"/>
  <pageMargins left="0.53" right="0.1" top="0.72" bottom="0.1" header="0.85" footer="0.1"/>
  <pageSetup paperSize="9" orientation="portrait" blackAndWhite="1" r:id="rId1"/>
  <headerFooter alignWithMargins="0"/>
</worksheet>
</file>

<file path=xl/worksheets/sheet66.xml><?xml version="1.0" encoding="utf-8"?>
<worksheet xmlns="http://schemas.openxmlformats.org/spreadsheetml/2006/main" xmlns:r="http://schemas.openxmlformats.org/officeDocument/2006/relationships">
  <sheetPr codeName="Sheet40"/>
  <dimension ref="A1:U52"/>
  <sheetViews>
    <sheetView workbookViewId="0">
      <selection activeCell="K43" sqref="K43"/>
    </sheetView>
  </sheetViews>
  <sheetFormatPr defaultRowHeight="12.4" customHeight="1"/>
  <cols>
    <col min="1" max="1" width="19.42578125" customWidth="1"/>
    <col min="2" max="2" width="9.42578125" customWidth="1"/>
    <col min="3" max="3" width="14.85546875" customWidth="1"/>
    <col min="4" max="4" width="9.42578125" customWidth="1"/>
    <col min="5" max="5" width="14.85546875" customWidth="1"/>
    <col min="6" max="6" width="9.42578125" customWidth="1"/>
    <col min="7" max="7" width="14.85546875" customWidth="1"/>
    <col min="8" max="8" width="6.5703125" customWidth="1"/>
    <col min="9" max="9" width="5.85546875" customWidth="1"/>
    <col min="10" max="10" width="7.7109375" customWidth="1"/>
    <col min="11" max="11" width="7" customWidth="1"/>
    <col min="12" max="12" width="7.7109375" customWidth="1"/>
    <col min="13" max="13" width="4.7109375" customWidth="1"/>
    <col min="14" max="14" width="10.5703125" customWidth="1"/>
    <col min="15" max="15" width="5.7109375" customWidth="1"/>
    <col min="16" max="16" width="7" customWidth="1"/>
    <col min="17" max="17" width="7.28515625" customWidth="1"/>
    <col min="18" max="18" width="5.85546875" customWidth="1"/>
    <col min="19" max="19" width="5.42578125" customWidth="1"/>
    <col min="20" max="20" width="5.85546875" customWidth="1"/>
    <col min="21" max="21" width="7.28515625" customWidth="1"/>
  </cols>
  <sheetData>
    <row r="1" spans="1:21" ht="20.25" customHeight="1">
      <c r="A1" s="1825" t="s">
        <v>721</v>
      </c>
      <c r="B1" s="1825"/>
      <c r="C1" s="1825"/>
      <c r="D1" s="1825"/>
      <c r="E1" s="1825"/>
      <c r="F1" s="1825"/>
      <c r="G1" s="1825"/>
    </row>
    <row r="2" spans="1:21" ht="33.75" customHeight="1">
      <c r="A2" s="1857" t="str">
        <f>CONCATENATE("Assistance to Old-aged Persons, Widows and Handicapped  
in the district of ",District!A1)</f>
        <v>Assistance to Old-aged Persons, Widows and Handicapped  
in the district of Purba Medinipur</v>
      </c>
      <c r="B2" s="1857"/>
      <c r="C2" s="1857"/>
      <c r="D2" s="1857"/>
      <c r="E2" s="1857"/>
      <c r="F2" s="1857"/>
      <c r="G2" s="1857"/>
    </row>
    <row r="3" spans="1:21" ht="15" customHeight="1">
      <c r="A3" s="2284" t="s">
        <v>899</v>
      </c>
      <c r="B3" s="1829" t="s">
        <v>211</v>
      </c>
      <c r="C3" s="1828"/>
      <c r="D3" s="1829" t="s">
        <v>212</v>
      </c>
      <c r="E3" s="1828"/>
      <c r="F3" s="2282" t="s">
        <v>1654</v>
      </c>
      <c r="G3" s="2283"/>
    </row>
    <row r="4" spans="1:21" ht="39.75" customHeight="1">
      <c r="A4" s="2285"/>
      <c r="B4" s="1165" t="s">
        <v>1241</v>
      </c>
      <c r="C4" s="744" t="s">
        <v>1251</v>
      </c>
      <c r="D4" s="1165" t="s">
        <v>1241</v>
      </c>
      <c r="E4" s="362" t="s">
        <v>1251</v>
      </c>
      <c r="F4" s="1165" t="s">
        <v>1241</v>
      </c>
      <c r="G4" s="362" t="s">
        <v>1251</v>
      </c>
    </row>
    <row r="5" spans="1:21" ht="14.1" customHeight="1">
      <c r="A5" s="134" t="s">
        <v>955</v>
      </c>
      <c r="B5" s="137" t="s">
        <v>956</v>
      </c>
      <c r="C5" s="134" t="s">
        <v>957</v>
      </c>
      <c r="D5" s="137" t="s">
        <v>958</v>
      </c>
      <c r="E5" s="134" t="s">
        <v>959</v>
      </c>
      <c r="F5" s="191" t="s">
        <v>961</v>
      </c>
      <c r="G5" s="193" t="s">
        <v>962</v>
      </c>
    </row>
    <row r="6" spans="1:21" ht="14.1" customHeight="1">
      <c r="A6" s="1500" t="s">
        <v>1356</v>
      </c>
      <c r="B6" s="1499">
        <v>3009</v>
      </c>
      <c r="C6" s="448">
        <v>16802</v>
      </c>
      <c r="D6" s="1499">
        <v>1581</v>
      </c>
      <c r="E6" s="448">
        <v>9442</v>
      </c>
      <c r="F6" s="1499">
        <v>1465</v>
      </c>
      <c r="G6" s="448">
        <v>8742</v>
      </c>
    </row>
    <row r="7" spans="1:21" ht="14.1" customHeight="1">
      <c r="A7" s="1500" t="s">
        <v>306</v>
      </c>
      <c r="B7" s="1496">
        <v>3029</v>
      </c>
      <c r="C7" s="448">
        <v>16820</v>
      </c>
      <c r="D7" s="1496">
        <v>1592</v>
      </c>
      <c r="E7" s="448">
        <v>9455</v>
      </c>
      <c r="F7" s="1496">
        <v>1470</v>
      </c>
      <c r="G7" s="448">
        <v>8745</v>
      </c>
    </row>
    <row r="8" spans="1:21" ht="14.1" customHeight="1">
      <c r="A8" s="284" t="s">
        <v>1357</v>
      </c>
      <c r="B8" s="1499">
        <v>3116</v>
      </c>
      <c r="C8" s="448">
        <v>23370</v>
      </c>
      <c r="D8" s="1499">
        <v>1756</v>
      </c>
      <c r="E8" s="448">
        <v>13170</v>
      </c>
      <c r="F8" s="1499">
        <v>1961</v>
      </c>
      <c r="G8" s="448">
        <v>14708</v>
      </c>
    </row>
    <row r="9" spans="1:21" ht="14.1" customHeight="1">
      <c r="A9" s="284" t="s">
        <v>628</v>
      </c>
      <c r="B9" s="391">
        <v>3117</v>
      </c>
      <c r="C9" s="448">
        <v>28053</v>
      </c>
      <c r="D9" s="391">
        <v>1709</v>
      </c>
      <c r="E9" s="448">
        <v>15381</v>
      </c>
      <c r="F9" s="391">
        <v>1742</v>
      </c>
      <c r="G9" s="448">
        <v>15678</v>
      </c>
    </row>
    <row r="10" spans="1:21" ht="14.1" customHeight="1">
      <c r="A10" s="732" t="s">
        <v>1639</v>
      </c>
      <c r="B10" s="491">
        <f t="shared" ref="B10:G10" si="0">SUM(B12,B22,B29,B36)</f>
        <v>3385</v>
      </c>
      <c r="C10" s="1285">
        <f t="shared" si="0"/>
        <v>30465</v>
      </c>
      <c r="D10" s="732">
        <f t="shared" si="0"/>
        <v>1791</v>
      </c>
      <c r="E10" s="1285">
        <f t="shared" si="0"/>
        <v>16119</v>
      </c>
      <c r="F10" s="732">
        <f t="shared" si="0"/>
        <v>1870</v>
      </c>
      <c r="G10" s="1285">
        <f t="shared" si="0"/>
        <v>16830</v>
      </c>
    </row>
    <row r="11" spans="1:21" ht="26.25" customHeight="1">
      <c r="A11" s="744" t="s">
        <v>1184</v>
      </c>
      <c r="B11" s="2005" t="str">
        <f>"Year : " &amp; A10</f>
        <v>Year : 2013-14</v>
      </c>
      <c r="C11" s="2006"/>
      <c r="D11" s="2006"/>
      <c r="E11" s="2006"/>
      <c r="F11" s="2006"/>
      <c r="G11" s="2007"/>
    </row>
    <row r="12" spans="1:21" ht="15" customHeight="1">
      <c r="A12" s="700" t="s">
        <v>1273</v>
      </c>
      <c r="B12" s="316">
        <f t="shared" ref="B12:G12" si="1">IF(SUM(B13:B21)=0,"..",(SUM(B13:B21)))</f>
        <v>1205</v>
      </c>
      <c r="C12" s="894">
        <f t="shared" si="1"/>
        <v>10845</v>
      </c>
      <c r="D12" s="316">
        <f t="shared" si="1"/>
        <v>646</v>
      </c>
      <c r="E12" s="894">
        <f t="shared" si="1"/>
        <v>5814</v>
      </c>
      <c r="F12" s="316">
        <f t="shared" si="1"/>
        <v>682</v>
      </c>
      <c r="G12" s="1286">
        <f t="shared" si="1"/>
        <v>6138</v>
      </c>
      <c r="H12" s="1760"/>
      <c r="I12" s="1743"/>
      <c r="J12" s="1760"/>
      <c r="K12" s="1743"/>
      <c r="L12" s="1760"/>
      <c r="M12" s="7"/>
      <c r="N12" s="1761"/>
      <c r="O12" s="7"/>
      <c r="P12" s="8"/>
      <c r="Q12" s="1762"/>
      <c r="R12" s="1762"/>
      <c r="S12" s="1762"/>
      <c r="T12" s="1762"/>
      <c r="U12" s="1762"/>
    </row>
    <row r="13" spans="1:21" ht="15" customHeight="1">
      <c r="A13" s="508" t="s">
        <v>200</v>
      </c>
      <c r="B13" s="407">
        <v>148</v>
      </c>
      <c r="C13" s="448">
        <v>1332</v>
      </c>
      <c r="D13" s="407">
        <v>83</v>
      </c>
      <c r="E13" s="448">
        <v>747</v>
      </c>
      <c r="F13" s="407">
        <v>91</v>
      </c>
      <c r="G13" s="448">
        <v>819</v>
      </c>
      <c r="H13" s="1083"/>
      <c r="I13" s="1747"/>
      <c r="J13" s="1083"/>
      <c r="K13" s="1747"/>
      <c r="L13" s="1083"/>
      <c r="M13" s="7"/>
      <c r="N13" s="1351"/>
      <c r="O13" s="7"/>
      <c r="P13" s="8"/>
      <c r="Q13" s="1762"/>
      <c r="R13" s="1762"/>
      <c r="S13" s="1762"/>
      <c r="T13" s="1762"/>
      <c r="U13" s="1762"/>
    </row>
    <row r="14" spans="1:21" ht="15" customHeight="1">
      <c r="A14" s="508" t="s">
        <v>1386</v>
      </c>
      <c r="B14" s="407">
        <v>136</v>
      </c>
      <c r="C14" s="448">
        <v>1224</v>
      </c>
      <c r="D14" s="407">
        <v>72</v>
      </c>
      <c r="E14" s="448">
        <v>648</v>
      </c>
      <c r="F14" s="407">
        <v>78</v>
      </c>
      <c r="G14" s="448">
        <v>702</v>
      </c>
      <c r="H14" s="1083"/>
      <c r="I14" s="1747"/>
      <c r="J14" s="1083"/>
      <c r="K14" s="1747"/>
      <c r="L14" s="1083"/>
      <c r="M14" s="7"/>
      <c r="N14" s="1351"/>
      <c r="O14" s="7"/>
      <c r="P14" s="8"/>
      <c r="Q14" s="1762"/>
      <c r="R14" s="1762"/>
      <c r="S14" s="1762"/>
      <c r="T14" s="1762"/>
      <c r="U14" s="1762"/>
    </row>
    <row r="15" spans="1:21" ht="15" customHeight="1">
      <c r="A15" s="508" t="s">
        <v>1388</v>
      </c>
      <c r="B15" s="1">
        <v>192</v>
      </c>
      <c r="C15" s="448">
        <v>1728</v>
      </c>
      <c r="D15" s="407">
        <v>108</v>
      </c>
      <c r="E15" s="448">
        <v>972</v>
      </c>
      <c r="F15" s="407">
        <v>114</v>
      </c>
      <c r="G15" s="448">
        <v>1026</v>
      </c>
      <c r="H15" s="1083"/>
      <c r="I15" s="1747"/>
      <c r="J15" s="1083"/>
      <c r="K15" s="1747"/>
      <c r="L15" s="1083"/>
      <c r="M15" s="7"/>
      <c r="N15" s="1351"/>
      <c r="O15" s="7"/>
      <c r="P15" s="8"/>
      <c r="Q15" s="1762"/>
      <c r="R15" s="1762"/>
      <c r="S15" s="1762"/>
      <c r="T15" s="1762"/>
      <c r="U15" s="1762"/>
    </row>
    <row r="16" spans="1:21" ht="15" customHeight="1">
      <c r="A16" s="287" t="s">
        <v>1568</v>
      </c>
      <c r="B16" s="407">
        <v>197</v>
      </c>
      <c r="C16" s="448">
        <v>1773</v>
      </c>
      <c r="D16" s="407">
        <v>109</v>
      </c>
      <c r="E16" s="448">
        <v>981</v>
      </c>
      <c r="F16" s="407">
        <v>117</v>
      </c>
      <c r="G16" s="448">
        <v>1053</v>
      </c>
      <c r="H16" s="1083"/>
      <c r="I16" s="1747"/>
      <c r="J16" s="1083"/>
      <c r="K16" s="1747"/>
      <c r="L16" s="1083"/>
      <c r="M16" s="7"/>
      <c r="N16" s="1744"/>
      <c r="O16" s="7"/>
      <c r="P16" s="8"/>
      <c r="Q16" s="1762"/>
      <c r="R16" s="1762"/>
      <c r="S16" s="1762"/>
      <c r="T16" s="1762"/>
      <c r="U16" s="1762"/>
    </row>
    <row r="17" spans="1:21" ht="15" customHeight="1">
      <c r="A17" s="508" t="s">
        <v>1390</v>
      </c>
      <c r="B17" s="407">
        <v>149</v>
      </c>
      <c r="C17" s="448">
        <v>1341</v>
      </c>
      <c r="D17" s="407">
        <v>80</v>
      </c>
      <c r="E17" s="448">
        <v>720</v>
      </c>
      <c r="F17" s="407">
        <v>83</v>
      </c>
      <c r="G17" s="448">
        <v>747</v>
      </c>
      <c r="H17" s="1083"/>
      <c r="I17" s="1747"/>
      <c r="J17" s="1083"/>
      <c r="K17" s="1747"/>
      <c r="L17" s="1083"/>
      <c r="M17" s="7"/>
      <c r="N17" s="1351"/>
      <c r="O17" s="7"/>
      <c r="P17" s="8"/>
      <c r="Q17" s="1762"/>
      <c r="R17" s="1762"/>
      <c r="S17" s="1762"/>
      <c r="T17" s="1762"/>
      <c r="U17" s="1762"/>
    </row>
    <row r="18" spans="1:21" ht="15" customHeight="1">
      <c r="A18" s="508" t="s">
        <v>1391</v>
      </c>
      <c r="B18" s="407">
        <v>175</v>
      </c>
      <c r="C18" s="448">
        <v>1575</v>
      </c>
      <c r="D18" s="407">
        <v>93</v>
      </c>
      <c r="E18" s="448">
        <v>837</v>
      </c>
      <c r="F18" s="407">
        <v>99</v>
      </c>
      <c r="G18" s="448">
        <v>891</v>
      </c>
      <c r="H18" s="1083"/>
      <c r="I18" s="1747"/>
      <c r="J18" s="1083"/>
      <c r="K18" s="1747"/>
      <c r="L18" s="1083"/>
      <c r="M18" s="7"/>
      <c r="N18" s="1351"/>
      <c r="O18" s="7"/>
      <c r="P18" s="8"/>
      <c r="Q18" s="1762"/>
      <c r="R18" s="1762"/>
      <c r="S18" s="1762"/>
      <c r="T18" s="1762"/>
      <c r="U18" s="1762"/>
    </row>
    <row r="19" spans="1:21" ht="15" customHeight="1">
      <c r="A19" s="508" t="s">
        <v>1392</v>
      </c>
      <c r="B19" s="407">
        <v>120</v>
      </c>
      <c r="C19" s="448">
        <v>1080</v>
      </c>
      <c r="D19" s="407">
        <v>65</v>
      </c>
      <c r="E19" s="448">
        <v>585</v>
      </c>
      <c r="F19" s="407">
        <v>70</v>
      </c>
      <c r="G19" s="448">
        <v>630</v>
      </c>
      <c r="H19" s="1083"/>
      <c r="I19" s="1747"/>
      <c r="J19" s="1083"/>
      <c r="K19" s="1747"/>
      <c r="L19" s="1083"/>
      <c r="M19" s="7"/>
      <c r="N19" s="1351"/>
      <c r="O19" s="7"/>
      <c r="P19" s="8"/>
      <c r="Q19" s="1762"/>
      <c r="R19" s="1762"/>
      <c r="S19" s="1762"/>
      <c r="T19" s="1762"/>
      <c r="U19" s="1762"/>
    </row>
    <row r="20" spans="1:21" ht="15" customHeight="1">
      <c r="A20" s="508" t="s">
        <v>1383</v>
      </c>
      <c r="B20" s="407">
        <v>49</v>
      </c>
      <c r="C20" s="448">
        <v>441</v>
      </c>
      <c r="D20" s="407">
        <v>20</v>
      </c>
      <c r="E20" s="448">
        <v>180</v>
      </c>
      <c r="F20" s="407">
        <v>16</v>
      </c>
      <c r="G20" s="448">
        <v>144</v>
      </c>
      <c r="H20" s="1083"/>
      <c r="I20" s="1747"/>
      <c r="J20" s="1083"/>
      <c r="K20" s="1747"/>
      <c r="L20" s="1083"/>
      <c r="M20" s="7"/>
      <c r="N20" s="1351"/>
      <c r="O20" s="7"/>
      <c r="P20" s="8"/>
      <c r="Q20" s="1762"/>
      <c r="R20" s="1762"/>
      <c r="S20" s="1762"/>
      <c r="T20" s="1762"/>
      <c r="U20" s="1762"/>
    </row>
    <row r="21" spans="1:21" ht="15" customHeight="1">
      <c r="A21" s="508" t="s">
        <v>1389</v>
      </c>
      <c r="B21" s="407">
        <v>39</v>
      </c>
      <c r="C21" s="844">
        <v>351</v>
      </c>
      <c r="D21" s="407">
        <v>16</v>
      </c>
      <c r="E21" s="844">
        <v>144</v>
      </c>
      <c r="F21" s="407">
        <v>14</v>
      </c>
      <c r="G21" s="448">
        <v>126</v>
      </c>
      <c r="H21" s="1083"/>
      <c r="I21" s="1747"/>
      <c r="J21" s="1083"/>
      <c r="K21" s="1747"/>
      <c r="L21" s="1083"/>
      <c r="M21" s="7"/>
      <c r="N21" s="1351"/>
      <c r="O21" s="7"/>
      <c r="P21" s="8"/>
      <c r="Q21" s="1762"/>
      <c r="R21" s="1762"/>
      <c r="S21" s="1762"/>
      <c r="T21" s="1762"/>
      <c r="U21" s="1762"/>
    </row>
    <row r="22" spans="1:21" ht="15" customHeight="1">
      <c r="A22" s="527" t="s">
        <v>1274</v>
      </c>
      <c r="B22" s="316">
        <f t="shared" ref="B22:G22" si="2">IF(SUM(B23:B28)=0,"..",(SUM(B23:B28)))</f>
        <v>607</v>
      </c>
      <c r="C22" s="894">
        <f t="shared" si="2"/>
        <v>5463</v>
      </c>
      <c r="D22" s="316">
        <f t="shared" si="2"/>
        <v>330</v>
      </c>
      <c r="E22" s="894">
        <f t="shared" si="2"/>
        <v>2970</v>
      </c>
      <c r="F22" s="316">
        <f t="shared" si="2"/>
        <v>335</v>
      </c>
      <c r="G22" s="1213">
        <f t="shared" si="2"/>
        <v>3015</v>
      </c>
      <c r="H22" s="1760"/>
      <c r="I22" s="1743"/>
      <c r="J22" s="1760"/>
      <c r="K22" s="1743"/>
      <c r="L22" s="1760"/>
      <c r="M22" s="7"/>
      <c r="N22" s="1627"/>
      <c r="O22" s="7"/>
      <c r="P22" s="8"/>
      <c r="Q22" s="1762"/>
      <c r="R22" s="1762"/>
      <c r="S22" s="1762"/>
      <c r="T22" s="1762"/>
      <c r="U22" s="1762"/>
    </row>
    <row r="23" spans="1:21" ht="15" customHeight="1">
      <c r="A23" s="508" t="s">
        <v>1393</v>
      </c>
      <c r="B23" s="407">
        <v>140</v>
      </c>
      <c r="C23" s="448">
        <v>1260</v>
      </c>
      <c r="D23" s="407">
        <v>78</v>
      </c>
      <c r="E23" s="448">
        <v>702</v>
      </c>
      <c r="F23" s="407">
        <v>82</v>
      </c>
      <c r="G23" s="448">
        <v>738</v>
      </c>
      <c r="H23" s="1083"/>
      <c r="I23" s="1747"/>
      <c r="J23" s="1083"/>
      <c r="K23" s="1747"/>
      <c r="L23" s="1083"/>
      <c r="M23" s="7"/>
      <c r="N23" s="1351"/>
      <c r="O23" s="7"/>
      <c r="P23" s="8"/>
      <c r="Q23" s="1762"/>
      <c r="R23" s="1762"/>
      <c r="S23" s="1762"/>
      <c r="T23" s="1762"/>
      <c r="U23" s="1762"/>
    </row>
    <row r="24" spans="1:21" ht="15" customHeight="1">
      <c r="A24" s="508" t="s">
        <v>1395</v>
      </c>
      <c r="B24" s="407">
        <v>131</v>
      </c>
      <c r="C24" s="448">
        <v>1179</v>
      </c>
      <c r="D24" s="407">
        <v>76</v>
      </c>
      <c r="E24" s="448">
        <v>684</v>
      </c>
      <c r="F24" s="407">
        <v>82</v>
      </c>
      <c r="G24" s="448">
        <v>738</v>
      </c>
      <c r="H24" s="1083"/>
      <c r="I24" s="1747"/>
      <c r="J24" s="1083"/>
      <c r="K24" s="1747"/>
      <c r="L24" s="1083"/>
      <c r="M24" s="7"/>
      <c r="N24" s="1351"/>
      <c r="O24" s="7"/>
      <c r="P24" s="8"/>
      <c r="Q24" s="1762"/>
      <c r="R24" s="1762"/>
      <c r="S24" s="1762"/>
      <c r="T24" s="1762"/>
      <c r="U24" s="1762"/>
    </row>
    <row r="25" spans="1:21" ht="15" customHeight="1">
      <c r="A25" s="508" t="s">
        <v>1396</v>
      </c>
      <c r="B25" s="844">
        <v>83</v>
      </c>
      <c r="C25" s="448">
        <v>747</v>
      </c>
      <c r="D25" s="407">
        <v>42</v>
      </c>
      <c r="E25" s="448">
        <v>378</v>
      </c>
      <c r="F25" s="407">
        <v>45</v>
      </c>
      <c r="G25" s="448">
        <v>405</v>
      </c>
      <c r="H25" s="1083"/>
      <c r="I25" s="1747"/>
      <c r="J25" s="1083"/>
      <c r="K25" s="1747"/>
      <c r="L25" s="1083"/>
      <c r="M25" s="7"/>
      <c r="N25" s="1351"/>
      <c r="O25" s="7"/>
      <c r="P25" s="8"/>
      <c r="Q25" s="1762"/>
      <c r="R25" s="1762"/>
      <c r="S25" s="1762"/>
      <c r="T25" s="1762"/>
      <c r="U25" s="1762"/>
    </row>
    <row r="26" spans="1:21" ht="15" customHeight="1">
      <c r="A26" s="508" t="s">
        <v>1397</v>
      </c>
      <c r="B26" s="407">
        <v>83</v>
      </c>
      <c r="C26" s="448">
        <v>747</v>
      </c>
      <c r="D26" s="407">
        <v>49</v>
      </c>
      <c r="E26" s="448">
        <v>441</v>
      </c>
      <c r="F26" s="407">
        <v>51</v>
      </c>
      <c r="G26" s="448">
        <v>459</v>
      </c>
      <c r="H26" s="1083"/>
      <c r="I26" s="1747"/>
      <c r="J26" s="1083"/>
      <c r="K26" s="1747"/>
      <c r="L26" s="1083"/>
      <c r="M26" s="7"/>
      <c r="N26" s="1351"/>
      <c r="O26" s="7"/>
      <c r="P26" s="8"/>
      <c r="Q26" s="1762"/>
      <c r="R26" s="1762"/>
      <c r="S26" s="1762"/>
      <c r="T26" s="1762"/>
      <c r="U26" s="1762"/>
    </row>
    <row r="27" spans="1:21" ht="15" customHeight="1">
      <c r="A27" s="508" t="s">
        <v>1399</v>
      </c>
      <c r="B27" s="407">
        <v>62</v>
      </c>
      <c r="C27" s="448">
        <v>558</v>
      </c>
      <c r="D27" s="407">
        <v>34</v>
      </c>
      <c r="E27" s="448">
        <v>306</v>
      </c>
      <c r="F27" s="407">
        <v>36</v>
      </c>
      <c r="G27" s="448">
        <v>324</v>
      </c>
      <c r="H27" s="1083"/>
      <c r="I27" s="1747"/>
      <c r="J27" s="1083"/>
      <c r="K27" s="1747"/>
      <c r="L27" s="1083"/>
      <c r="M27" s="7"/>
      <c r="N27" s="1351"/>
      <c r="O27" s="7"/>
      <c r="P27" s="8"/>
      <c r="Q27" s="1762"/>
      <c r="R27" s="1762"/>
      <c r="S27" s="1762"/>
      <c r="T27" s="1762"/>
      <c r="U27" s="1762"/>
    </row>
    <row r="28" spans="1:21" ht="15" customHeight="1">
      <c r="A28" s="508" t="s">
        <v>1400</v>
      </c>
      <c r="B28" s="407">
        <v>108</v>
      </c>
      <c r="C28" s="448">
        <v>972</v>
      </c>
      <c r="D28" s="407">
        <v>51</v>
      </c>
      <c r="E28" s="448">
        <v>459</v>
      </c>
      <c r="F28" s="407">
        <v>39</v>
      </c>
      <c r="G28" s="448">
        <v>351</v>
      </c>
      <c r="H28" s="1083"/>
      <c r="I28" s="1747"/>
      <c r="J28" s="1083"/>
      <c r="K28" s="1747"/>
      <c r="L28" s="1083"/>
      <c r="M28" s="7"/>
      <c r="N28" s="1351"/>
      <c r="O28" s="7"/>
      <c r="P28" s="8"/>
      <c r="Q28" s="1762"/>
      <c r="R28" s="1762"/>
      <c r="S28" s="1762"/>
      <c r="T28" s="1762"/>
      <c r="U28" s="1762"/>
    </row>
    <row r="29" spans="1:21" ht="15" customHeight="1">
      <c r="A29" s="527" t="s">
        <v>844</v>
      </c>
      <c r="B29" s="316">
        <f t="shared" ref="B29:G29" si="3">IF(SUM(B30:B35)=0,"..",SUM(B30:B35))</f>
        <v>644</v>
      </c>
      <c r="C29" s="894">
        <f t="shared" si="3"/>
        <v>5796</v>
      </c>
      <c r="D29" s="316">
        <f t="shared" si="3"/>
        <v>337</v>
      </c>
      <c r="E29" s="894">
        <f t="shared" si="3"/>
        <v>3033</v>
      </c>
      <c r="F29" s="316">
        <f t="shared" si="3"/>
        <v>357</v>
      </c>
      <c r="G29" s="1213">
        <f t="shared" si="3"/>
        <v>3213</v>
      </c>
      <c r="H29" s="1760"/>
      <c r="I29" s="1743"/>
      <c r="J29" s="1760"/>
      <c r="K29" s="1743"/>
      <c r="L29" s="1760"/>
      <c r="M29" s="7"/>
      <c r="N29" s="1627"/>
      <c r="O29" s="7"/>
      <c r="P29" s="8"/>
      <c r="Q29" s="1762"/>
      <c r="R29" s="1762"/>
      <c r="S29" s="1762"/>
      <c r="T29" s="1762"/>
      <c r="U29" s="1762"/>
    </row>
    <row r="30" spans="1:21" ht="15" customHeight="1">
      <c r="A30" s="508" t="s">
        <v>1269</v>
      </c>
      <c r="B30" s="407">
        <v>118</v>
      </c>
      <c r="C30" s="448">
        <v>1062</v>
      </c>
      <c r="D30" s="407">
        <v>58</v>
      </c>
      <c r="E30" s="448">
        <v>522</v>
      </c>
      <c r="F30" s="407">
        <v>62</v>
      </c>
      <c r="G30" s="448">
        <v>558</v>
      </c>
      <c r="H30" s="1083"/>
      <c r="I30" s="1747"/>
      <c r="J30" s="1083"/>
      <c r="K30" s="1747"/>
      <c r="L30" s="1083"/>
      <c r="M30" s="7"/>
      <c r="N30" s="1351"/>
      <c r="O30" s="7"/>
      <c r="P30" s="8"/>
      <c r="Q30" s="1762"/>
      <c r="R30" s="1762"/>
      <c r="S30" s="1762"/>
      <c r="T30" s="1762"/>
      <c r="U30" s="1762"/>
    </row>
    <row r="31" spans="1:21" ht="15" customHeight="1">
      <c r="A31" s="508" t="s">
        <v>1270</v>
      </c>
      <c r="B31" s="407">
        <v>117</v>
      </c>
      <c r="C31" s="448">
        <v>1053</v>
      </c>
      <c r="D31" s="407">
        <v>62</v>
      </c>
      <c r="E31" s="448">
        <v>558</v>
      </c>
      <c r="F31" s="407">
        <v>66</v>
      </c>
      <c r="G31" s="448">
        <v>594</v>
      </c>
      <c r="H31" s="1083"/>
      <c r="I31" s="1747"/>
      <c r="J31" s="1083"/>
      <c r="K31" s="1747"/>
      <c r="L31" s="1083"/>
      <c r="M31" s="7"/>
      <c r="N31" s="1351"/>
      <c r="O31" s="7"/>
      <c r="P31" s="8"/>
      <c r="Q31" s="1762"/>
      <c r="R31" s="1762"/>
      <c r="S31" s="1762"/>
      <c r="T31" s="1762"/>
      <c r="U31" s="1762"/>
    </row>
    <row r="32" spans="1:21" ht="15" customHeight="1">
      <c r="A32" s="508" t="s">
        <v>1412</v>
      </c>
      <c r="B32" s="407">
        <v>157</v>
      </c>
      <c r="C32" s="448">
        <v>1413</v>
      </c>
      <c r="D32" s="407">
        <v>84</v>
      </c>
      <c r="E32" s="448">
        <v>756</v>
      </c>
      <c r="F32" s="407">
        <v>90</v>
      </c>
      <c r="G32" s="448">
        <v>810</v>
      </c>
      <c r="H32" s="1083"/>
      <c r="I32" s="1747"/>
      <c r="J32" s="1083"/>
      <c r="K32" s="1747"/>
      <c r="L32" s="1083"/>
      <c r="M32" s="7"/>
      <c r="N32" s="1351"/>
      <c r="O32" s="7"/>
      <c r="P32" s="8"/>
      <c r="Q32" s="1762"/>
      <c r="R32" s="1762"/>
      <c r="S32" s="1762"/>
      <c r="T32" s="1762"/>
      <c r="U32" s="1762"/>
    </row>
    <row r="33" spans="1:21" ht="15" customHeight="1">
      <c r="A33" s="508" t="s">
        <v>1413</v>
      </c>
      <c r="B33" s="407">
        <v>112</v>
      </c>
      <c r="C33" s="448">
        <v>1008</v>
      </c>
      <c r="D33" s="407">
        <v>59</v>
      </c>
      <c r="E33" s="448">
        <v>531</v>
      </c>
      <c r="F33" s="407">
        <v>63</v>
      </c>
      <c r="G33" s="448">
        <v>567</v>
      </c>
      <c r="H33" s="1083"/>
      <c r="I33" s="1747"/>
      <c r="J33" s="1083"/>
      <c r="K33" s="1747"/>
      <c r="L33" s="1083"/>
      <c r="M33" s="7"/>
      <c r="N33" s="1351"/>
      <c r="O33" s="7"/>
      <c r="P33" s="8"/>
      <c r="Q33" s="1762"/>
      <c r="R33" s="1762"/>
      <c r="S33" s="1762"/>
      <c r="T33" s="1762"/>
      <c r="U33" s="1762"/>
    </row>
    <row r="34" spans="1:21" ht="15" customHeight="1">
      <c r="A34" s="508" t="s">
        <v>1414</v>
      </c>
      <c r="B34" s="407">
        <v>121</v>
      </c>
      <c r="C34" s="448">
        <v>1089</v>
      </c>
      <c r="D34" s="407">
        <v>63</v>
      </c>
      <c r="E34" s="448">
        <v>567</v>
      </c>
      <c r="F34" s="407">
        <v>67</v>
      </c>
      <c r="G34" s="448">
        <v>603</v>
      </c>
      <c r="H34" s="1083"/>
      <c r="I34" s="1747"/>
      <c r="J34" s="1083"/>
      <c r="K34" s="1747"/>
      <c r="L34" s="1083"/>
      <c r="M34" s="7"/>
      <c r="N34" s="1351"/>
      <c r="O34" s="7"/>
      <c r="P34" s="8"/>
      <c r="Q34" s="1762"/>
      <c r="R34" s="1762"/>
      <c r="S34" s="1762"/>
      <c r="T34" s="1762"/>
      <c r="U34" s="1762"/>
    </row>
    <row r="35" spans="1:21" ht="15" customHeight="1">
      <c r="A35" s="508" t="s">
        <v>1415</v>
      </c>
      <c r="B35" s="407">
        <v>19</v>
      </c>
      <c r="C35" s="448">
        <v>171</v>
      </c>
      <c r="D35" s="407">
        <v>11</v>
      </c>
      <c r="E35" s="448">
        <v>99</v>
      </c>
      <c r="F35" s="407">
        <v>9</v>
      </c>
      <c r="G35" s="448">
        <v>81</v>
      </c>
      <c r="H35" s="1083"/>
      <c r="I35" s="1747"/>
      <c r="J35" s="1083"/>
      <c r="K35" s="1747"/>
      <c r="L35" s="1083"/>
      <c r="M35" s="7"/>
      <c r="N35" s="1351"/>
      <c r="O35" s="7"/>
      <c r="P35" s="8"/>
      <c r="Q35" s="1762"/>
      <c r="R35" s="1762"/>
      <c r="S35" s="1762"/>
      <c r="T35" s="1762"/>
      <c r="U35" s="1762"/>
    </row>
    <row r="36" spans="1:21" ht="15" customHeight="1">
      <c r="A36" s="527" t="s">
        <v>1275</v>
      </c>
      <c r="B36" s="316">
        <f t="shared" ref="B36:G36" si="4">IF(SUM(B37:B45)=0,"..",SUM(B37:B45))</f>
        <v>929</v>
      </c>
      <c r="C36" s="894">
        <f t="shared" si="4"/>
        <v>8361</v>
      </c>
      <c r="D36" s="316">
        <f t="shared" si="4"/>
        <v>478</v>
      </c>
      <c r="E36" s="894">
        <f t="shared" si="4"/>
        <v>4302</v>
      </c>
      <c r="F36" s="316">
        <f>IF(SUM(F37:F45)=0,"..",SUM(F37:F45))</f>
        <v>496</v>
      </c>
      <c r="G36" s="1213">
        <f t="shared" si="4"/>
        <v>4464</v>
      </c>
      <c r="H36" s="1760"/>
      <c r="I36" s="1743"/>
      <c r="J36" s="1760"/>
      <c r="K36" s="1743"/>
      <c r="L36" s="1760"/>
      <c r="M36" s="7"/>
      <c r="N36" s="1627"/>
      <c r="O36" s="7"/>
      <c r="P36" s="8"/>
      <c r="Q36" s="1762"/>
      <c r="R36" s="1762"/>
      <c r="S36" s="1762"/>
      <c r="T36" s="1762"/>
      <c r="U36" s="1762"/>
    </row>
    <row r="37" spans="1:21" ht="15" customHeight="1">
      <c r="A37" s="508" t="s">
        <v>1419</v>
      </c>
      <c r="B37" s="407">
        <v>90</v>
      </c>
      <c r="C37" s="448">
        <v>810</v>
      </c>
      <c r="D37" s="407">
        <v>44</v>
      </c>
      <c r="E37" s="448">
        <v>396</v>
      </c>
      <c r="F37" s="407">
        <v>49</v>
      </c>
      <c r="G37" s="448">
        <v>441</v>
      </c>
      <c r="H37" s="1083"/>
      <c r="I37" s="1747"/>
      <c r="J37" s="1083"/>
      <c r="K37" s="1747"/>
      <c r="L37" s="1083"/>
      <c r="M37" s="7"/>
      <c r="N37" s="1351"/>
      <c r="O37" s="7"/>
      <c r="P37" s="8"/>
      <c r="Q37" s="1762"/>
      <c r="R37" s="1762"/>
      <c r="S37" s="1762"/>
      <c r="T37" s="1762"/>
      <c r="U37" s="1762"/>
    </row>
    <row r="38" spans="1:21" ht="15" customHeight="1">
      <c r="A38" s="508" t="s">
        <v>1420</v>
      </c>
      <c r="B38" s="407">
        <v>90</v>
      </c>
      <c r="C38" s="448">
        <v>810</v>
      </c>
      <c r="D38" s="407">
        <v>45</v>
      </c>
      <c r="E38" s="448">
        <v>405</v>
      </c>
      <c r="F38" s="407">
        <v>49</v>
      </c>
      <c r="G38" s="448">
        <v>441</v>
      </c>
      <c r="H38" s="1083"/>
      <c r="I38" s="1747"/>
      <c r="J38" s="1083"/>
      <c r="K38" s="1747"/>
      <c r="L38" s="1083"/>
      <c r="M38" s="7"/>
      <c r="N38" s="1351"/>
      <c r="O38" s="7"/>
      <c r="P38" s="8"/>
      <c r="Q38" s="1762"/>
      <c r="R38" s="1762"/>
      <c r="S38" s="1762"/>
      <c r="T38" s="1762"/>
      <c r="U38" s="1762"/>
    </row>
    <row r="39" spans="1:21" ht="15" customHeight="1">
      <c r="A39" s="508" t="s">
        <v>1422</v>
      </c>
      <c r="B39" s="407">
        <v>130</v>
      </c>
      <c r="C39" s="448">
        <v>1170</v>
      </c>
      <c r="D39" s="407">
        <v>64</v>
      </c>
      <c r="E39" s="448">
        <v>576</v>
      </c>
      <c r="F39" s="407">
        <v>70</v>
      </c>
      <c r="G39" s="448">
        <v>630</v>
      </c>
      <c r="H39" s="1083"/>
      <c r="I39" s="1747"/>
      <c r="J39" s="1083"/>
      <c r="K39" s="1747"/>
      <c r="L39" s="1083"/>
      <c r="M39" s="7"/>
      <c r="N39" s="1351"/>
      <c r="O39" s="7"/>
      <c r="P39" s="8"/>
      <c r="Q39" s="1762"/>
      <c r="R39" s="1762"/>
      <c r="S39" s="1762"/>
      <c r="T39" s="1762"/>
      <c r="U39" s="1762"/>
    </row>
    <row r="40" spans="1:21" ht="15" customHeight="1">
      <c r="A40" s="508" t="s">
        <v>1423</v>
      </c>
      <c r="B40" s="407">
        <v>115</v>
      </c>
      <c r="C40" s="448">
        <v>1035</v>
      </c>
      <c r="D40" s="407">
        <v>60</v>
      </c>
      <c r="E40" s="448">
        <v>540</v>
      </c>
      <c r="F40" s="407">
        <v>63</v>
      </c>
      <c r="G40" s="448">
        <v>567</v>
      </c>
      <c r="H40" s="1083"/>
      <c r="I40" s="1747"/>
      <c r="J40" s="1083"/>
      <c r="K40" s="1747"/>
      <c r="L40" s="1083"/>
      <c r="M40" s="7"/>
      <c r="N40" s="1351"/>
      <c r="O40" s="7"/>
      <c r="P40" s="8"/>
      <c r="Q40" s="1762"/>
      <c r="R40" s="1762"/>
      <c r="S40" s="1762"/>
      <c r="T40" s="1762"/>
      <c r="U40" s="1762"/>
    </row>
    <row r="41" spans="1:21" ht="15" customHeight="1">
      <c r="A41" s="508" t="s">
        <v>1425</v>
      </c>
      <c r="B41" s="407">
        <v>107</v>
      </c>
      <c r="C41" s="448">
        <v>963</v>
      </c>
      <c r="D41" s="407">
        <v>56</v>
      </c>
      <c r="E41" s="448">
        <v>504</v>
      </c>
      <c r="F41" s="407">
        <v>57</v>
      </c>
      <c r="G41" s="448">
        <v>513</v>
      </c>
      <c r="H41" s="1083"/>
      <c r="I41" s="1747"/>
      <c r="J41" s="1083"/>
      <c r="K41" s="1747"/>
      <c r="L41" s="1083"/>
      <c r="M41" s="7"/>
      <c r="N41" s="1351"/>
      <c r="O41" s="7"/>
      <c r="P41" s="8"/>
      <c r="Q41" s="1762"/>
      <c r="R41" s="1762"/>
      <c r="S41" s="1762"/>
      <c r="T41" s="1762"/>
      <c r="U41" s="1762"/>
    </row>
    <row r="42" spans="1:21" ht="15" customHeight="1">
      <c r="A42" s="508" t="s">
        <v>1426</v>
      </c>
      <c r="B42" s="407">
        <v>118</v>
      </c>
      <c r="C42" s="448">
        <v>1062</v>
      </c>
      <c r="D42" s="407">
        <v>62</v>
      </c>
      <c r="E42" s="448">
        <v>558</v>
      </c>
      <c r="F42" s="407">
        <v>65</v>
      </c>
      <c r="G42" s="448">
        <v>585</v>
      </c>
      <c r="H42" s="1083"/>
      <c r="I42" s="1747"/>
      <c r="J42" s="1083"/>
      <c r="K42" s="1747"/>
      <c r="L42" s="1083"/>
      <c r="M42" s="7"/>
      <c r="N42" s="1351"/>
      <c r="O42" s="7"/>
      <c r="P42" s="8"/>
      <c r="Q42" s="1762"/>
      <c r="R42" s="1762"/>
      <c r="S42" s="1762"/>
      <c r="T42" s="1762"/>
      <c r="U42" s="1762"/>
    </row>
    <row r="43" spans="1:21" ht="15" customHeight="1">
      <c r="A43" s="508" t="s">
        <v>1570</v>
      </c>
      <c r="B43" s="407">
        <v>117</v>
      </c>
      <c r="C43" s="448">
        <v>1053</v>
      </c>
      <c r="D43" s="407">
        <v>65</v>
      </c>
      <c r="E43" s="448">
        <v>585</v>
      </c>
      <c r="F43" s="1408">
        <v>66</v>
      </c>
      <c r="G43" s="448">
        <v>594</v>
      </c>
      <c r="H43" s="1083"/>
      <c r="I43" s="1747"/>
      <c r="J43" s="1083"/>
      <c r="K43" s="1747"/>
      <c r="L43" s="1083"/>
      <c r="M43" s="7"/>
      <c r="N43" s="1351"/>
      <c r="O43" s="7"/>
      <c r="P43" s="8"/>
      <c r="Q43" s="1762"/>
      <c r="R43" s="1762"/>
      <c r="S43" s="1762"/>
      <c r="T43" s="1762"/>
      <c r="U43" s="1762"/>
    </row>
    <row r="44" spans="1:21" ht="15" customHeight="1">
      <c r="A44" s="508" t="s">
        <v>1429</v>
      </c>
      <c r="B44" s="407">
        <v>107</v>
      </c>
      <c r="C44" s="448">
        <v>963</v>
      </c>
      <c r="D44" s="407">
        <v>52</v>
      </c>
      <c r="E44" s="448">
        <v>468</v>
      </c>
      <c r="F44" s="407">
        <v>55</v>
      </c>
      <c r="G44" s="448">
        <v>495</v>
      </c>
      <c r="H44" s="1083"/>
      <c r="I44" s="1747"/>
      <c r="J44" s="1083"/>
      <c r="K44" s="1747"/>
      <c r="L44" s="1083"/>
      <c r="M44" s="7"/>
      <c r="N44" s="1351"/>
      <c r="O44" s="7"/>
      <c r="P44" s="8"/>
      <c r="Q44" s="1762"/>
      <c r="R44" s="1762"/>
      <c r="S44" s="1762"/>
      <c r="T44" s="1762"/>
      <c r="U44" s="1762"/>
    </row>
    <row r="45" spans="1:21" ht="15" customHeight="1">
      <c r="A45" s="509" t="s">
        <v>1427</v>
      </c>
      <c r="B45" s="341">
        <v>55</v>
      </c>
      <c r="C45" s="452">
        <v>495</v>
      </c>
      <c r="D45" s="341">
        <v>30</v>
      </c>
      <c r="E45" s="452">
        <v>270</v>
      </c>
      <c r="F45" s="407">
        <v>22</v>
      </c>
      <c r="G45" s="846">
        <v>198</v>
      </c>
      <c r="H45" s="1083"/>
      <c r="I45" s="1747"/>
      <c r="J45" s="1083"/>
      <c r="K45" s="1747"/>
      <c r="L45" s="1763"/>
      <c r="M45" s="7"/>
      <c r="N45" s="1351"/>
      <c r="O45" s="7"/>
      <c r="P45" s="8"/>
      <c r="Q45" s="1762"/>
      <c r="R45" s="1762"/>
      <c r="S45" s="1762"/>
      <c r="T45" s="1762"/>
      <c r="U45" s="1762"/>
    </row>
    <row r="46" spans="1:21" ht="12.4" customHeight="1">
      <c r="A46" s="2279" t="s">
        <v>1640</v>
      </c>
      <c r="B46" s="2280"/>
      <c r="C46" s="2280"/>
      <c r="D46" s="1638" t="s">
        <v>1557</v>
      </c>
      <c r="E46" s="1639" t="s">
        <v>1321</v>
      </c>
      <c r="F46" s="1640"/>
      <c r="G46" s="1640"/>
    </row>
    <row r="47" spans="1:21" ht="12.4" customHeight="1">
      <c r="A47" s="2281"/>
      <c r="B47" s="2281"/>
      <c r="C47" s="2281"/>
      <c r="D47" s="1641"/>
      <c r="E47" s="1642" t="s">
        <v>1322</v>
      </c>
      <c r="F47" s="1643"/>
      <c r="G47" s="1642"/>
    </row>
    <row r="48" spans="1:21" ht="12.4" customHeight="1">
      <c r="A48" s="2281"/>
      <c r="B48" s="2281"/>
      <c r="C48" s="2281"/>
      <c r="D48" s="330"/>
      <c r="E48" s="329"/>
      <c r="F48" s="332"/>
      <c r="G48" s="230"/>
    </row>
    <row r="49" spans="1:7" ht="12.4" customHeight="1">
      <c r="A49" s="2281"/>
      <c r="B49" s="2281"/>
      <c r="C49" s="2281"/>
      <c r="D49" s="330"/>
      <c r="E49" s="329"/>
      <c r="F49" s="83"/>
      <c r="G49" s="83"/>
    </row>
    <row r="50" spans="1:7" ht="12.4" customHeight="1">
      <c r="A50" s="246"/>
      <c r="B50" s="246"/>
      <c r="D50" s="319"/>
      <c r="E50" s="329"/>
      <c r="F50" s="319"/>
      <c r="G50" s="263"/>
    </row>
    <row r="51" spans="1:7" ht="12.4" customHeight="1">
      <c r="D51" s="319"/>
      <c r="E51" s="329"/>
      <c r="F51" s="319"/>
      <c r="G51" s="263"/>
    </row>
    <row r="52" spans="1:7" ht="12.4" customHeight="1">
      <c r="D52" s="319"/>
      <c r="E52" s="329"/>
      <c r="F52" s="319"/>
      <c r="G52" s="263"/>
    </row>
  </sheetData>
  <mergeCells count="8">
    <mergeCell ref="A1:G1"/>
    <mergeCell ref="B11:G11"/>
    <mergeCell ref="A46:C49"/>
    <mergeCell ref="A2:G2"/>
    <mergeCell ref="B3:C3"/>
    <mergeCell ref="D3:E3"/>
    <mergeCell ref="F3:G3"/>
    <mergeCell ref="A3:A4"/>
  </mergeCells>
  <phoneticPr fontId="0" type="noConversion"/>
  <printOptions horizontalCentered="1"/>
  <pageMargins left="0.1" right="0.1" top="0.66" bottom="0.1" header="0.56000000000000005" footer="0.1"/>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dimension ref="A1:F45"/>
  <sheetViews>
    <sheetView workbookViewId="0">
      <selection activeCell="C3" sqref="C3:C4"/>
    </sheetView>
  </sheetViews>
  <sheetFormatPr defaultRowHeight="12.75"/>
  <cols>
    <col min="1" max="1" width="21.5703125" customWidth="1"/>
    <col min="2" max="2" width="11.5703125" customWidth="1"/>
    <col min="3" max="3" width="9.5703125" customWidth="1"/>
    <col min="4" max="6" width="12.85546875" customWidth="1"/>
  </cols>
  <sheetData>
    <row r="1" spans="1:6" ht="13.5" customHeight="1">
      <c r="A1" s="1825" t="s">
        <v>720</v>
      </c>
      <c r="B1" s="1825"/>
      <c r="C1" s="1825"/>
      <c r="D1" s="1825"/>
      <c r="E1" s="1825"/>
      <c r="F1" s="1825"/>
    </row>
    <row r="2" spans="1:6" ht="48.75" customHeight="1">
      <c r="A2" s="1853" t="str">
        <f>CONCATENATE("Wholesale Prices of Agricultural Commodities, Live-stock and
 Live-stock Products (average quality) in different markets
 in the district of ",District!$A$1)</f>
        <v>Wholesale Prices of Agricultural Commodities, Live-stock and
 Live-stock Products (average quality) in different markets
 in the district of Purba Medinipur</v>
      </c>
      <c r="B2" s="1853"/>
      <c r="C2" s="1853"/>
      <c r="D2" s="1853"/>
      <c r="E2" s="1853"/>
      <c r="F2" s="1853"/>
    </row>
    <row r="3" spans="1:6" ht="15.75" customHeight="1">
      <c r="A3" s="1831" t="s">
        <v>1335</v>
      </c>
      <c r="B3" s="1831" t="s">
        <v>253</v>
      </c>
      <c r="C3" s="1831" t="s">
        <v>900</v>
      </c>
      <c r="D3" s="1827" t="s">
        <v>1461</v>
      </c>
      <c r="E3" s="1827"/>
      <c r="F3" s="1828"/>
    </row>
    <row r="4" spans="1:6" ht="15.75" customHeight="1">
      <c r="A4" s="1832"/>
      <c r="B4" s="1832"/>
      <c r="C4" s="1832"/>
      <c r="D4" s="1498">
        <v>2012</v>
      </c>
      <c r="E4" s="1498">
        <v>2013</v>
      </c>
      <c r="F4" s="198">
        <v>2014</v>
      </c>
    </row>
    <row r="5" spans="1:6" ht="15.75" customHeight="1">
      <c r="A5" s="134" t="s">
        <v>955</v>
      </c>
      <c r="B5" s="135" t="s">
        <v>956</v>
      </c>
      <c r="C5" s="134" t="s">
        <v>957</v>
      </c>
      <c r="D5" s="135" t="s">
        <v>958</v>
      </c>
      <c r="E5" s="134" t="s">
        <v>959</v>
      </c>
      <c r="F5" s="136" t="s">
        <v>961</v>
      </c>
    </row>
    <row r="6" spans="1:6" ht="18" customHeight="1">
      <c r="A6" s="726" t="s">
        <v>678</v>
      </c>
      <c r="B6" s="699" t="s">
        <v>930</v>
      </c>
      <c r="C6" s="652" t="s">
        <v>327</v>
      </c>
      <c r="D6" s="767">
        <v>978</v>
      </c>
      <c r="E6" s="768">
        <v>1080</v>
      </c>
      <c r="F6" s="768">
        <v>1350</v>
      </c>
    </row>
    <row r="7" spans="1:6" ht="18" customHeight="1">
      <c r="A7" s="726" t="s">
        <v>679</v>
      </c>
      <c r="B7" s="388" t="s">
        <v>887</v>
      </c>
      <c r="C7" s="584" t="s">
        <v>887</v>
      </c>
      <c r="D7" s="767">
        <v>904</v>
      </c>
      <c r="E7" s="766">
        <v>965</v>
      </c>
      <c r="F7" s="766">
        <v>1243</v>
      </c>
    </row>
    <row r="8" spans="1:6" ht="18" customHeight="1">
      <c r="A8" s="726" t="s">
        <v>677</v>
      </c>
      <c r="B8" s="699" t="s">
        <v>1264</v>
      </c>
      <c r="C8" s="584" t="s">
        <v>887</v>
      </c>
      <c r="D8" s="767">
        <v>1858</v>
      </c>
      <c r="E8" s="766">
        <v>2040</v>
      </c>
      <c r="F8" s="766">
        <v>2531</v>
      </c>
    </row>
    <row r="9" spans="1:6" ht="18" customHeight="1">
      <c r="A9" s="726" t="s">
        <v>74</v>
      </c>
      <c r="B9" s="388" t="s">
        <v>887</v>
      </c>
      <c r="C9" s="584" t="s">
        <v>887</v>
      </c>
      <c r="D9" s="767">
        <v>1637</v>
      </c>
      <c r="E9" s="766">
        <v>1790</v>
      </c>
      <c r="F9" s="766">
        <v>2183</v>
      </c>
    </row>
    <row r="10" spans="1:6" ht="18" customHeight="1">
      <c r="A10" s="726" t="s">
        <v>75</v>
      </c>
      <c r="B10" s="699" t="s">
        <v>1385</v>
      </c>
      <c r="C10" s="584" t="s">
        <v>887</v>
      </c>
      <c r="D10" s="767">
        <v>1172</v>
      </c>
      <c r="E10" s="766">
        <v>1120</v>
      </c>
      <c r="F10" s="766">
        <v>1355</v>
      </c>
    </row>
    <row r="11" spans="1:6" ht="18" customHeight="1">
      <c r="A11" s="726" t="s">
        <v>1503</v>
      </c>
      <c r="B11" s="699" t="s">
        <v>200</v>
      </c>
      <c r="C11" s="187" t="s">
        <v>325</v>
      </c>
      <c r="D11" s="767">
        <v>57</v>
      </c>
      <c r="E11" s="766">
        <v>69</v>
      </c>
      <c r="F11" s="766">
        <v>75</v>
      </c>
    </row>
    <row r="12" spans="1:6" ht="18" customHeight="1">
      <c r="A12" s="726" t="s">
        <v>419</v>
      </c>
      <c r="B12" s="388" t="s">
        <v>887</v>
      </c>
      <c r="C12" s="187" t="s">
        <v>327</v>
      </c>
      <c r="D12" s="767">
        <v>4283</v>
      </c>
      <c r="E12" s="766">
        <v>5540</v>
      </c>
      <c r="F12" s="766">
        <v>5564</v>
      </c>
    </row>
    <row r="13" spans="1:6" ht="18" customHeight="1">
      <c r="A13" s="726" t="s">
        <v>420</v>
      </c>
      <c r="B13" s="388" t="s">
        <v>887</v>
      </c>
      <c r="C13" s="584" t="s">
        <v>887</v>
      </c>
      <c r="D13" s="767">
        <v>4783</v>
      </c>
      <c r="E13" s="766">
        <v>6480</v>
      </c>
      <c r="F13" s="766">
        <v>7007</v>
      </c>
    </row>
    <row r="14" spans="1:6" ht="18" customHeight="1">
      <c r="A14" s="726" t="s">
        <v>421</v>
      </c>
      <c r="B14" s="388" t="s">
        <v>887</v>
      </c>
      <c r="C14" s="584" t="s">
        <v>887</v>
      </c>
      <c r="D14" s="767">
        <v>2400</v>
      </c>
      <c r="E14" s="766">
        <v>2880</v>
      </c>
      <c r="F14" s="766">
        <v>3400</v>
      </c>
    </row>
    <row r="15" spans="1:6" ht="18" customHeight="1">
      <c r="A15" s="726" t="s">
        <v>328</v>
      </c>
      <c r="B15" s="388" t="s">
        <v>887</v>
      </c>
      <c r="C15" s="584" t="s">
        <v>887</v>
      </c>
      <c r="D15" s="767">
        <v>6792</v>
      </c>
      <c r="E15" s="766">
        <v>7390</v>
      </c>
      <c r="F15" s="766">
        <v>7000</v>
      </c>
    </row>
    <row r="16" spans="1:6" ht="18" customHeight="1">
      <c r="A16" s="726" t="s">
        <v>329</v>
      </c>
      <c r="B16" s="388" t="s">
        <v>887</v>
      </c>
      <c r="C16" s="584" t="s">
        <v>887</v>
      </c>
      <c r="D16" s="767">
        <v>2767</v>
      </c>
      <c r="E16" s="766">
        <v>3142</v>
      </c>
      <c r="F16" s="766">
        <v>3600</v>
      </c>
    </row>
    <row r="17" spans="1:6" ht="18" customHeight="1">
      <c r="A17" s="726" t="s">
        <v>76</v>
      </c>
      <c r="B17" s="388" t="s">
        <v>887</v>
      </c>
      <c r="C17" s="584" t="s">
        <v>887</v>
      </c>
      <c r="D17" s="767">
        <v>5917</v>
      </c>
      <c r="E17" s="766">
        <v>5208</v>
      </c>
      <c r="F17" s="766">
        <v>7500</v>
      </c>
    </row>
    <row r="18" spans="1:6" ht="18" customHeight="1">
      <c r="A18" s="726" t="s">
        <v>77</v>
      </c>
      <c r="B18" s="699" t="s">
        <v>1385</v>
      </c>
      <c r="C18" s="584" t="s">
        <v>887</v>
      </c>
      <c r="D18" s="767">
        <v>613</v>
      </c>
      <c r="E18" s="766">
        <v>1103</v>
      </c>
      <c r="F18" s="766">
        <v>888</v>
      </c>
    </row>
    <row r="19" spans="1:6" ht="18" customHeight="1">
      <c r="A19" s="726" t="s">
        <v>78</v>
      </c>
      <c r="B19" s="388" t="s">
        <v>887</v>
      </c>
      <c r="C19" s="584" t="s">
        <v>887</v>
      </c>
      <c r="D19" s="767">
        <v>1857</v>
      </c>
      <c r="E19" s="766">
        <v>1915</v>
      </c>
      <c r="F19" s="766">
        <v>3046</v>
      </c>
    </row>
    <row r="20" spans="1:6" ht="18" customHeight="1">
      <c r="A20" s="726" t="s">
        <v>1547</v>
      </c>
      <c r="B20" s="699" t="s">
        <v>200</v>
      </c>
      <c r="C20" s="584" t="s">
        <v>887</v>
      </c>
      <c r="D20" s="767">
        <v>917</v>
      </c>
      <c r="E20" s="766">
        <v>1130</v>
      </c>
      <c r="F20" s="766">
        <v>1517</v>
      </c>
    </row>
    <row r="21" spans="1:6" ht="18" customHeight="1">
      <c r="A21" s="726" t="s">
        <v>89</v>
      </c>
      <c r="B21" s="388" t="s">
        <v>887</v>
      </c>
      <c r="C21" s="187" t="s">
        <v>332</v>
      </c>
      <c r="D21" s="767">
        <v>1017</v>
      </c>
      <c r="E21" s="766">
        <v>1838</v>
      </c>
      <c r="F21" s="766">
        <v>2000</v>
      </c>
    </row>
    <row r="22" spans="1:6" ht="18" customHeight="1">
      <c r="A22" s="726" t="s">
        <v>79</v>
      </c>
      <c r="B22" s="699" t="s">
        <v>333</v>
      </c>
      <c r="C22" s="584" t="s">
        <v>887</v>
      </c>
      <c r="D22" s="767">
        <v>373</v>
      </c>
      <c r="E22" s="766">
        <v>442</v>
      </c>
      <c r="F22" s="766">
        <v>483</v>
      </c>
    </row>
    <row r="23" spans="1:6" ht="18" customHeight="1">
      <c r="A23" s="726" t="s">
        <v>80</v>
      </c>
      <c r="B23" s="388" t="s">
        <v>887</v>
      </c>
      <c r="C23" s="187" t="s">
        <v>334</v>
      </c>
      <c r="D23" s="769" t="s">
        <v>310</v>
      </c>
      <c r="E23" s="770" t="s">
        <v>204</v>
      </c>
      <c r="F23" s="770">
        <v>6358</v>
      </c>
    </row>
    <row r="24" spans="1:6" ht="18" customHeight="1">
      <c r="A24" s="726" t="s">
        <v>81</v>
      </c>
      <c r="B24" s="388" t="s">
        <v>887</v>
      </c>
      <c r="C24" s="584" t="s">
        <v>887</v>
      </c>
      <c r="D24" s="769" t="s">
        <v>379</v>
      </c>
      <c r="E24" s="770" t="s">
        <v>205</v>
      </c>
      <c r="F24" s="770">
        <v>9875</v>
      </c>
    </row>
    <row r="25" spans="1:6" ht="18" customHeight="1">
      <c r="A25" s="726" t="s">
        <v>82</v>
      </c>
      <c r="B25" s="388" t="s">
        <v>887</v>
      </c>
      <c r="C25" s="187" t="s">
        <v>335</v>
      </c>
      <c r="D25" s="767">
        <v>17</v>
      </c>
      <c r="E25" s="766">
        <v>18</v>
      </c>
      <c r="F25" s="766">
        <v>22</v>
      </c>
    </row>
    <row r="26" spans="1:6" ht="18" customHeight="1">
      <c r="A26" s="726" t="s">
        <v>83</v>
      </c>
      <c r="B26" s="388" t="s">
        <v>887</v>
      </c>
      <c r="C26" s="187" t="s">
        <v>336</v>
      </c>
      <c r="D26" s="767">
        <v>697</v>
      </c>
      <c r="E26" s="766">
        <v>780</v>
      </c>
      <c r="F26" s="766">
        <v>933</v>
      </c>
    </row>
    <row r="27" spans="1:6" ht="18" customHeight="1">
      <c r="A27" s="727" t="s">
        <v>85</v>
      </c>
      <c r="B27" s="388" t="s">
        <v>887</v>
      </c>
      <c r="C27" s="584" t="s">
        <v>887</v>
      </c>
      <c r="D27" s="767">
        <v>1722</v>
      </c>
      <c r="E27" s="766">
        <v>1875</v>
      </c>
      <c r="F27" s="766">
        <v>2990</v>
      </c>
    </row>
    <row r="28" spans="1:6" ht="18" customHeight="1">
      <c r="A28" s="727" t="s">
        <v>84</v>
      </c>
      <c r="B28" s="388" t="s">
        <v>887</v>
      </c>
      <c r="C28" s="584" t="s">
        <v>887</v>
      </c>
      <c r="D28" s="767">
        <v>2038</v>
      </c>
      <c r="E28" s="766">
        <v>2080</v>
      </c>
      <c r="F28" s="766">
        <v>2794</v>
      </c>
    </row>
    <row r="29" spans="1:6" ht="18" customHeight="1">
      <c r="A29" s="726" t="s">
        <v>422</v>
      </c>
      <c r="B29" s="699" t="s">
        <v>331</v>
      </c>
      <c r="C29" s="187" t="s">
        <v>327</v>
      </c>
      <c r="D29" s="1497">
        <v>1265</v>
      </c>
      <c r="E29" s="1496">
        <v>1530</v>
      </c>
      <c r="F29" s="1634">
        <v>2780</v>
      </c>
    </row>
    <row r="30" spans="1:6" ht="18" customHeight="1">
      <c r="A30" s="726" t="s">
        <v>1217</v>
      </c>
      <c r="B30" s="699" t="s">
        <v>331</v>
      </c>
      <c r="C30" s="584" t="s">
        <v>887</v>
      </c>
      <c r="D30" s="767">
        <v>3000</v>
      </c>
      <c r="E30" s="766">
        <v>4000</v>
      </c>
      <c r="F30" s="1637" t="s">
        <v>918</v>
      </c>
    </row>
    <row r="31" spans="1:6" ht="18" customHeight="1">
      <c r="A31" s="726" t="s">
        <v>1217</v>
      </c>
      <c r="B31" s="699" t="s">
        <v>1264</v>
      </c>
      <c r="C31" s="584" t="s">
        <v>887</v>
      </c>
      <c r="D31" s="1636" t="s">
        <v>918</v>
      </c>
      <c r="E31" s="1506" t="s">
        <v>918</v>
      </c>
      <c r="F31" s="1635">
        <v>3307</v>
      </c>
    </row>
    <row r="32" spans="1:6" ht="18" customHeight="1">
      <c r="A32" s="726" t="s">
        <v>423</v>
      </c>
      <c r="B32" s="699" t="s">
        <v>1385</v>
      </c>
      <c r="C32" s="584" t="s">
        <v>887</v>
      </c>
      <c r="D32" s="767">
        <v>3283</v>
      </c>
      <c r="E32" s="766">
        <v>3140</v>
      </c>
      <c r="F32" s="766">
        <v>5500</v>
      </c>
    </row>
    <row r="33" spans="1:6" ht="18" customHeight="1">
      <c r="A33" s="726" t="s">
        <v>86</v>
      </c>
      <c r="B33" s="388" t="s">
        <v>887</v>
      </c>
      <c r="C33" s="584" t="s">
        <v>887</v>
      </c>
      <c r="D33" s="767">
        <v>2320</v>
      </c>
      <c r="E33" s="766">
        <v>2140</v>
      </c>
      <c r="F33" s="766">
        <v>2373</v>
      </c>
    </row>
    <row r="34" spans="1:6" ht="18" customHeight="1">
      <c r="A34" s="726" t="s">
        <v>87</v>
      </c>
      <c r="B34" s="699" t="s">
        <v>331</v>
      </c>
      <c r="C34" s="584" t="s">
        <v>887</v>
      </c>
      <c r="D34" s="825">
        <v>3167</v>
      </c>
      <c r="E34" s="766">
        <v>3785</v>
      </c>
      <c r="F34" s="1506" t="s">
        <v>918</v>
      </c>
    </row>
    <row r="35" spans="1:6" ht="18" customHeight="1">
      <c r="A35" s="726" t="s">
        <v>87</v>
      </c>
      <c r="B35" s="699" t="s">
        <v>200</v>
      </c>
      <c r="C35" s="584" t="s">
        <v>887</v>
      </c>
      <c r="D35" s="1507" t="s">
        <v>918</v>
      </c>
      <c r="E35" s="1507" t="s">
        <v>918</v>
      </c>
      <c r="F35" s="766">
        <v>3800</v>
      </c>
    </row>
    <row r="36" spans="1:6" ht="18" customHeight="1">
      <c r="A36" s="824" t="s">
        <v>676</v>
      </c>
      <c r="B36" s="647" t="s">
        <v>331</v>
      </c>
      <c r="C36" s="826" t="s">
        <v>487</v>
      </c>
      <c r="D36" s="825">
        <v>1100</v>
      </c>
      <c r="E36" s="766">
        <v>775</v>
      </c>
      <c r="F36" s="1506" t="s">
        <v>918</v>
      </c>
    </row>
    <row r="37" spans="1:6" ht="18" customHeight="1">
      <c r="A37" s="824" t="s">
        <v>1561</v>
      </c>
      <c r="B37" s="648" t="s">
        <v>1385</v>
      </c>
      <c r="C37" s="584" t="s">
        <v>887</v>
      </c>
      <c r="D37" s="825">
        <v>120</v>
      </c>
      <c r="E37" s="766">
        <v>227</v>
      </c>
      <c r="F37" s="766">
        <v>258</v>
      </c>
    </row>
    <row r="38" spans="1:6" ht="18" customHeight="1">
      <c r="A38" s="824" t="s">
        <v>1564</v>
      </c>
      <c r="B38" s="648" t="s">
        <v>1385</v>
      </c>
      <c r="C38" s="187" t="s">
        <v>254</v>
      </c>
      <c r="D38" s="825">
        <v>138</v>
      </c>
      <c r="E38" s="766">
        <v>230</v>
      </c>
      <c r="F38" s="766">
        <v>227</v>
      </c>
    </row>
    <row r="39" spans="1:6" ht="18" customHeight="1">
      <c r="A39" s="824" t="s">
        <v>88</v>
      </c>
      <c r="B39" s="648" t="s">
        <v>1385</v>
      </c>
      <c r="C39" s="826" t="s">
        <v>487</v>
      </c>
      <c r="D39" s="825">
        <v>200</v>
      </c>
      <c r="E39" s="766">
        <v>250</v>
      </c>
      <c r="F39" s="766" t="s">
        <v>918</v>
      </c>
    </row>
    <row r="40" spans="1:6" ht="18" customHeight="1">
      <c r="A40" s="824" t="s">
        <v>1565</v>
      </c>
      <c r="B40" s="648" t="s">
        <v>1385</v>
      </c>
      <c r="C40" s="187" t="s">
        <v>254</v>
      </c>
      <c r="D40" s="825">
        <v>30</v>
      </c>
      <c r="E40" s="766">
        <v>40</v>
      </c>
      <c r="F40" s="766">
        <v>42</v>
      </c>
    </row>
    <row r="41" spans="1:6" ht="18" customHeight="1">
      <c r="A41" s="824" t="s">
        <v>486</v>
      </c>
      <c r="B41" s="648" t="s">
        <v>1385</v>
      </c>
      <c r="C41" s="1579" t="s">
        <v>1670</v>
      </c>
      <c r="D41" s="825">
        <v>40</v>
      </c>
      <c r="E41" s="766">
        <v>80</v>
      </c>
      <c r="F41" s="766">
        <v>162</v>
      </c>
    </row>
    <row r="42" spans="1:6" ht="18" customHeight="1">
      <c r="A42" s="824" t="s">
        <v>1641</v>
      </c>
      <c r="B42" s="648" t="s">
        <v>1385</v>
      </c>
      <c r="C42" s="1579" t="s">
        <v>487</v>
      </c>
      <c r="D42" s="1507" t="s">
        <v>918</v>
      </c>
      <c r="E42" s="1506" t="s">
        <v>918</v>
      </c>
      <c r="F42" s="766">
        <v>3362</v>
      </c>
    </row>
    <row r="43" spans="1:6" ht="18" customHeight="1">
      <c r="A43" s="728" t="s">
        <v>90</v>
      </c>
      <c r="B43" s="827" t="s">
        <v>1385</v>
      </c>
      <c r="C43" s="257" t="s">
        <v>1671</v>
      </c>
      <c r="D43" s="884">
        <v>75</v>
      </c>
      <c r="E43" s="884">
        <v>150</v>
      </c>
      <c r="F43" s="884">
        <v>203</v>
      </c>
    </row>
    <row r="44" spans="1:6">
      <c r="B44" s="503"/>
      <c r="D44" s="2286" t="s">
        <v>1642</v>
      </c>
      <c r="E44" s="2287"/>
      <c r="F44" s="2287"/>
    </row>
    <row r="45" spans="1:6">
      <c r="C45" s="502"/>
      <c r="D45" s="2288"/>
      <c r="E45" s="2288"/>
      <c r="F45" s="2288"/>
    </row>
  </sheetData>
  <mergeCells count="7">
    <mergeCell ref="D44:F45"/>
    <mergeCell ref="A2:F2"/>
    <mergeCell ref="D3:F3"/>
    <mergeCell ref="A1:F1"/>
    <mergeCell ref="A3:A4"/>
    <mergeCell ref="B3:B4"/>
    <mergeCell ref="C3:C4"/>
  </mergeCells>
  <phoneticPr fontId="0" type="noConversion"/>
  <printOptions horizontalCentered="1"/>
  <pageMargins left="0.1" right="0.1" top="0.43" bottom="0.1" header="0.7" footer="0.1"/>
  <pageSetup paperSize="9" orientation="portrait" blackAndWhite="1" r:id="rId1"/>
  <headerFooter alignWithMargins="0"/>
</worksheet>
</file>

<file path=xl/worksheets/sheet68.xml><?xml version="1.0" encoding="utf-8"?>
<worksheet xmlns="http://schemas.openxmlformats.org/spreadsheetml/2006/main" xmlns:r="http://schemas.openxmlformats.org/officeDocument/2006/relationships">
  <dimension ref="A1:C34"/>
  <sheetViews>
    <sheetView workbookViewId="0">
      <selection sqref="A1:C1"/>
    </sheetView>
  </sheetViews>
  <sheetFormatPr defaultRowHeight="12.75"/>
  <cols>
    <col min="1" max="1" width="29.5703125" customWidth="1"/>
    <col min="2" max="3" width="21.140625" customWidth="1"/>
  </cols>
  <sheetData>
    <row r="1" spans="1:3" ht="18" customHeight="1">
      <c r="A1" s="1825" t="s">
        <v>718</v>
      </c>
      <c r="B1" s="1825"/>
      <c r="C1" s="1825"/>
    </row>
    <row r="2" spans="1:3" ht="19.5" customHeight="1">
      <c r="A2" s="1853" t="str">
        <f>CONCATENATE("Regulated Market by category in the district of ",District!$A$1)</f>
        <v>Regulated Market by category in the district of Purba Medinipur</v>
      </c>
      <c r="B2" s="1853"/>
      <c r="C2" s="1853"/>
    </row>
    <row r="3" spans="1:3" ht="13.5" customHeight="1">
      <c r="B3" s="7"/>
      <c r="C3" s="485" t="s">
        <v>1001</v>
      </c>
    </row>
    <row r="4" spans="1:3" ht="32.25" customHeight="1">
      <c r="A4" s="933" t="s">
        <v>1634</v>
      </c>
      <c r="B4" s="933" t="s">
        <v>23</v>
      </c>
      <c r="C4" s="362" t="s">
        <v>24</v>
      </c>
    </row>
    <row r="5" spans="1:3" ht="17.25" customHeight="1">
      <c r="A5" s="74" t="s">
        <v>955</v>
      </c>
      <c r="B5" s="74" t="s">
        <v>956</v>
      </c>
      <c r="C5" s="63" t="s">
        <v>957</v>
      </c>
    </row>
    <row r="6" spans="1:3" ht="27" customHeight="1">
      <c r="A6" s="1720" t="s">
        <v>1635</v>
      </c>
      <c r="B6" s="1721">
        <v>2</v>
      </c>
      <c r="C6" s="92">
        <v>23</v>
      </c>
    </row>
    <row r="7" spans="1:3" ht="27" customHeight="1">
      <c r="A7" s="1717" t="s">
        <v>1636</v>
      </c>
      <c r="B7" s="1722">
        <v>2</v>
      </c>
      <c r="C7" s="1719">
        <v>23</v>
      </c>
    </row>
    <row r="8" spans="1:3" ht="27" customHeight="1">
      <c r="A8" s="1717" t="s">
        <v>1637</v>
      </c>
      <c r="B8" s="1722">
        <v>2</v>
      </c>
      <c r="C8" s="1719">
        <v>23</v>
      </c>
    </row>
    <row r="9" spans="1:3" ht="27" customHeight="1">
      <c r="A9" s="1717" t="s">
        <v>1682</v>
      </c>
      <c r="B9" s="1722">
        <v>1</v>
      </c>
      <c r="C9" s="1719">
        <v>24</v>
      </c>
    </row>
    <row r="10" spans="1:3" ht="27" customHeight="1">
      <c r="A10" s="1718" t="s">
        <v>1681</v>
      </c>
      <c r="B10" s="341">
        <v>1</v>
      </c>
      <c r="C10" s="443">
        <v>24</v>
      </c>
    </row>
    <row r="11" spans="1:3" ht="12.75" customHeight="1">
      <c r="A11" s="1438"/>
      <c r="B11" s="568"/>
      <c r="C11" s="1106" t="s">
        <v>2</v>
      </c>
    </row>
    <row r="12" spans="1:3">
      <c r="A12" s="3"/>
      <c r="B12" s="569"/>
      <c r="C12" s="1463"/>
    </row>
    <row r="13" spans="1:3" ht="16.5" customHeight="1">
      <c r="A13" s="1973" t="s">
        <v>719</v>
      </c>
      <c r="B13" s="1973"/>
      <c r="C13" s="1973"/>
    </row>
    <row r="14" spans="1:3" ht="52.5" customHeight="1">
      <c r="A14" s="2299" t="s">
        <v>1246</v>
      </c>
      <c r="B14" s="2299"/>
      <c r="C14" s="2299"/>
    </row>
    <row r="15" spans="1:3" ht="12.75" customHeight="1">
      <c r="A15" s="1198" t="s">
        <v>1007</v>
      </c>
      <c r="C15" s="1468" t="s">
        <v>43</v>
      </c>
    </row>
    <row r="16" spans="1:3" ht="24.75" customHeight="1">
      <c r="A16" s="160" t="s">
        <v>469</v>
      </c>
      <c r="B16" s="2300" t="s">
        <v>964</v>
      </c>
      <c r="C16" s="2301"/>
    </row>
    <row r="17" spans="1:3" ht="17.25" customHeight="1">
      <c r="A17" s="1304" t="s">
        <v>955</v>
      </c>
      <c r="B17" s="2293" t="s">
        <v>956</v>
      </c>
      <c r="C17" s="2294"/>
    </row>
    <row r="18" spans="1:3" ht="19.5" customHeight="1">
      <c r="A18" s="1020">
        <v>2012</v>
      </c>
      <c r="B18" s="2295">
        <v>166.3</v>
      </c>
      <c r="C18" s="2296"/>
    </row>
    <row r="19" spans="1:3" ht="19.5" customHeight="1">
      <c r="A19" s="284">
        <v>2013</v>
      </c>
      <c r="B19" s="2289">
        <v>182.80833333333337</v>
      </c>
      <c r="C19" s="2290"/>
    </row>
    <row r="20" spans="1:3" ht="19.5" customHeight="1">
      <c r="A20" s="732">
        <v>2014</v>
      </c>
      <c r="B20" s="2297">
        <f>AVERAGE(B22:C33)</f>
        <v>195.91666666666666</v>
      </c>
      <c r="C20" s="2298"/>
    </row>
    <row r="21" spans="1:3" ht="19.5" customHeight="1">
      <c r="A21" s="1946" t="str">
        <f>"Year : " &amp;A20</f>
        <v>Year : 2014</v>
      </c>
      <c r="B21" s="2077"/>
      <c r="C21" s="1947"/>
    </row>
    <row r="22" spans="1:3" ht="21.75" customHeight="1">
      <c r="A22" s="826" t="s">
        <v>967</v>
      </c>
      <c r="B22" s="2302">
        <v>190.7</v>
      </c>
      <c r="C22" s="2303"/>
    </row>
    <row r="23" spans="1:3" ht="21.75" customHeight="1">
      <c r="A23" s="826" t="s">
        <v>968</v>
      </c>
      <c r="B23" s="2291">
        <v>190.7</v>
      </c>
      <c r="C23" s="2292"/>
    </row>
    <row r="24" spans="1:3" ht="21.75" customHeight="1">
      <c r="A24" s="826" t="s">
        <v>969</v>
      </c>
      <c r="B24" s="2291">
        <v>190.3</v>
      </c>
      <c r="C24" s="2292"/>
    </row>
    <row r="25" spans="1:3" ht="21.75" customHeight="1">
      <c r="A25" s="826" t="s">
        <v>970</v>
      </c>
      <c r="B25" s="2291">
        <v>191</v>
      </c>
      <c r="C25" s="2292"/>
    </row>
    <row r="26" spans="1:3" ht="21.75" customHeight="1">
      <c r="A26" s="826" t="s">
        <v>971</v>
      </c>
      <c r="B26" s="2291">
        <v>192.9</v>
      </c>
      <c r="C26" s="2292"/>
    </row>
    <row r="27" spans="1:3" ht="21.75" customHeight="1">
      <c r="A27" s="826" t="s">
        <v>972</v>
      </c>
      <c r="B27" s="2291">
        <v>196.5</v>
      </c>
      <c r="C27" s="2292"/>
    </row>
    <row r="28" spans="1:3" ht="21.75" customHeight="1">
      <c r="A28" s="826" t="s">
        <v>973</v>
      </c>
      <c r="B28" s="2289">
        <v>198.5</v>
      </c>
      <c r="C28" s="2290"/>
    </row>
    <row r="29" spans="1:3" ht="21.75" customHeight="1">
      <c r="A29" s="826" t="s">
        <v>974</v>
      </c>
      <c r="B29" s="2289">
        <v>199.2</v>
      </c>
      <c r="C29" s="2290"/>
    </row>
    <row r="30" spans="1:3" ht="21.75" customHeight="1">
      <c r="A30" s="826" t="s">
        <v>975</v>
      </c>
      <c r="B30" s="2289">
        <v>200</v>
      </c>
      <c r="C30" s="2290"/>
    </row>
    <row r="31" spans="1:3" ht="21.75" customHeight="1">
      <c r="A31" s="826" t="s">
        <v>976</v>
      </c>
      <c r="B31" s="2289">
        <v>200.4</v>
      </c>
      <c r="C31" s="2290"/>
    </row>
    <row r="32" spans="1:3" ht="21.75" customHeight="1">
      <c r="A32" s="826" t="s">
        <v>977</v>
      </c>
      <c r="B32" s="2289">
        <v>200.1</v>
      </c>
      <c r="C32" s="2290"/>
    </row>
    <row r="33" spans="1:3" ht="21.75" customHeight="1">
      <c r="A33" s="1074" t="s">
        <v>397</v>
      </c>
      <c r="B33" s="2297">
        <v>200.7</v>
      </c>
      <c r="C33" s="2298"/>
    </row>
    <row r="34" spans="1:3" ht="15" customHeight="1">
      <c r="A34" s="1040"/>
      <c r="C34" s="1439" t="s">
        <v>3</v>
      </c>
    </row>
  </sheetData>
  <mergeCells count="22">
    <mergeCell ref="B33:C33"/>
    <mergeCell ref="A1:C1"/>
    <mergeCell ref="A2:C2"/>
    <mergeCell ref="A13:C13"/>
    <mergeCell ref="A14:C14"/>
    <mergeCell ref="B16:C16"/>
    <mergeCell ref="B26:C26"/>
    <mergeCell ref="B27:C27"/>
    <mergeCell ref="B24:C24"/>
    <mergeCell ref="B25:C25"/>
    <mergeCell ref="B32:C32"/>
    <mergeCell ref="A21:C21"/>
    <mergeCell ref="B30:C30"/>
    <mergeCell ref="B28:C28"/>
    <mergeCell ref="B29:C29"/>
    <mergeCell ref="B22:C22"/>
    <mergeCell ref="B31:C31"/>
    <mergeCell ref="B23:C23"/>
    <mergeCell ref="B17:C17"/>
    <mergeCell ref="B18:C18"/>
    <mergeCell ref="B19:C19"/>
    <mergeCell ref="B20:C20"/>
  </mergeCells>
  <phoneticPr fontId="0" type="noConversion"/>
  <printOptions horizontalCentered="1"/>
  <pageMargins left="0.1" right="0.1" top="0.81" bottom="0.1" header="0.56000000000000005" footer="0.1"/>
  <pageSetup paperSize="9" orientation="portrait" blackAndWhite="1" r:id="rId1"/>
  <headerFooter alignWithMargins="0"/>
</worksheet>
</file>

<file path=xl/worksheets/sheet69.xml><?xml version="1.0" encoding="utf-8"?>
<worksheet xmlns="http://schemas.openxmlformats.org/spreadsheetml/2006/main" xmlns:r="http://schemas.openxmlformats.org/officeDocument/2006/relationships">
  <dimension ref="A1:L38"/>
  <sheetViews>
    <sheetView workbookViewId="0">
      <selection activeCell="I30" sqref="I30"/>
    </sheetView>
  </sheetViews>
  <sheetFormatPr defaultRowHeight="12.75"/>
  <cols>
    <col min="1" max="1" width="16.5703125" customWidth="1"/>
    <col min="2" max="6" width="10.7109375" customWidth="1"/>
  </cols>
  <sheetData>
    <row r="1" spans="1:12" ht="21" customHeight="1">
      <c r="A1" s="1825" t="s">
        <v>716</v>
      </c>
      <c r="B1" s="1825"/>
      <c r="C1" s="1825"/>
      <c r="D1" s="1825"/>
      <c r="E1" s="1825"/>
      <c r="F1" s="1825"/>
    </row>
    <row r="2" spans="1:12" ht="35.25" customHeight="1">
      <c r="A2" s="1857" t="str">
        <f>CONCATENATE("Consumer Price Index Numbers for Industrial Workers 
in the district of ",District!$A$1)</f>
        <v>Consumer Price Index Numbers for Industrial Workers 
in the district of Purba Medinipur</v>
      </c>
      <c r="B2" s="1857"/>
      <c r="C2" s="1857"/>
      <c r="D2" s="1857"/>
      <c r="E2" s="1857"/>
      <c r="F2" s="1857"/>
      <c r="G2" s="55"/>
      <c r="H2" s="55"/>
    </row>
    <row r="3" spans="1:12" ht="18.75" customHeight="1">
      <c r="A3" s="919" t="s">
        <v>1584</v>
      </c>
      <c r="B3" s="7"/>
      <c r="D3" s="150"/>
      <c r="E3" s="150"/>
      <c r="F3" s="485" t="s">
        <v>1578</v>
      </c>
    </row>
    <row r="4" spans="1:12" s="128" customFormat="1" ht="18" customHeight="1">
      <c r="A4" s="133" t="s">
        <v>264</v>
      </c>
      <c r="B4" s="1671">
        <v>2010</v>
      </c>
      <c r="C4" s="133">
        <v>2011</v>
      </c>
      <c r="D4" s="133">
        <v>2012</v>
      </c>
      <c r="E4" s="133">
        <v>2013</v>
      </c>
      <c r="F4" s="133">
        <v>2014</v>
      </c>
    </row>
    <row r="5" spans="1:12" s="128" customFormat="1" ht="18" customHeight="1">
      <c r="A5" s="134" t="s">
        <v>955</v>
      </c>
      <c r="B5" s="135" t="s">
        <v>956</v>
      </c>
      <c r="C5" s="134" t="s">
        <v>957</v>
      </c>
      <c r="D5" s="135" t="s">
        <v>958</v>
      </c>
      <c r="E5" s="134" t="s">
        <v>959</v>
      </c>
      <c r="F5" s="252" t="s">
        <v>961</v>
      </c>
    </row>
    <row r="6" spans="1:12" s="128" customFormat="1" ht="21" customHeight="1">
      <c r="A6" s="278" t="s">
        <v>967</v>
      </c>
      <c r="B6" s="92">
        <v>154</v>
      </c>
      <c r="C6" s="92">
        <v>177</v>
      </c>
      <c r="D6" s="92">
        <v>198</v>
      </c>
      <c r="E6" s="92">
        <v>223</v>
      </c>
      <c r="F6" s="92">
        <v>233</v>
      </c>
      <c r="L6" s="228"/>
    </row>
    <row r="7" spans="1:12" s="128" customFormat="1" ht="21" customHeight="1">
      <c r="A7" s="278" t="s">
        <v>968</v>
      </c>
      <c r="B7" s="1697">
        <v>155</v>
      </c>
      <c r="C7" s="1697">
        <v>175</v>
      </c>
      <c r="D7" s="1697">
        <v>200</v>
      </c>
      <c r="E7" s="1697">
        <v>223</v>
      </c>
      <c r="F7" s="110">
        <v>232</v>
      </c>
      <c r="G7" s="228"/>
    </row>
    <row r="8" spans="1:12" s="128" customFormat="1" ht="21" customHeight="1">
      <c r="A8" s="278" t="s">
        <v>969</v>
      </c>
      <c r="B8" s="1697">
        <v>155</v>
      </c>
      <c r="C8" s="1697">
        <v>176</v>
      </c>
      <c r="D8" s="1697">
        <v>201</v>
      </c>
      <c r="E8" s="1697">
        <v>224</v>
      </c>
      <c r="F8" s="110">
        <v>234</v>
      </c>
      <c r="G8" s="228"/>
    </row>
    <row r="9" spans="1:12" s="128" customFormat="1" ht="21" customHeight="1">
      <c r="A9" s="278" t="s">
        <v>970</v>
      </c>
      <c r="B9" s="1697">
        <v>157</v>
      </c>
      <c r="C9" s="1697">
        <v>177</v>
      </c>
      <c r="D9" s="1697">
        <v>206</v>
      </c>
      <c r="E9" s="1697">
        <v>226</v>
      </c>
      <c r="F9" s="110">
        <v>238</v>
      </c>
      <c r="G9" s="228"/>
    </row>
    <row r="10" spans="1:12" s="128" customFormat="1" ht="21" customHeight="1">
      <c r="A10" s="278" t="s">
        <v>971</v>
      </c>
      <c r="B10" s="1697">
        <v>158</v>
      </c>
      <c r="C10" s="1697">
        <v>176</v>
      </c>
      <c r="D10" s="1697">
        <v>208</v>
      </c>
      <c r="E10" s="1697">
        <v>228</v>
      </c>
      <c r="F10" s="110">
        <v>241</v>
      </c>
      <c r="G10" s="228"/>
    </row>
    <row r="11" spans="1:12" s="128" customFormat="1" ht="21" customHeight="1">
      <c r="A11" s="278" t="s">
        <v>972</v>
      </c>
      <c r="B11" s="1697">
        <v>161</v>
      </c>
      <c r="C11" s="1697">
        <v>178</v>
      </c>
      <c r="D11" s="1697">
        <v>211</v>
      </c>
      <c r="E11" s="1697">
        <v>230</v>
      </c>
      <c r="F11" s="110">
        <v>242</v>
      </c>
      <c r="G11" s="228"/>
    </row>
    <row r="12" spans="1:12" s="128" customFormat="1" ht="21" customHeight="1">
      <c r="A12" s="278" t="s">
        <v>973</v>
      </c>
      <c r="B12" s="1697">
        <v>164</v>
      </c>
      <c r="C12" s="1697">
        <v>192</v>
      </c>
      <c r="D12" s="1697">
        <v>216</v>
      </c>
      <c r="E12" s="1697">
        <v>231</v>
      </c>
      <c r="F12" s="110">
        <v>248</v>
      </c>
      <c r="G12" s="228"/>
    </row>
    <row r="13" spans="1:12" s="128" customFormat="1" ht="21" customHeight="1">
      <c r="A13" s="278" t="s">
        <v>974</v>
      </c>
      <c r="B13" s="1697">
        <v>162</v>
      </c>
      <c r="C13" s="1697">
        <v>194</v>
      </c>
      <c r="D13" s="1697">
        <v>217</v>
      </c>
      <c r="E13" s="1697">
        <v>233</v>
      </c>
      <c r="F13" s="110">
        <v>248</v>
      </c>
      <c r="G13" s="228"/>
    </row>
    <row r="14" spans="1:12" s="128" customFormat="1" ht="21" customHeight="1">
      <c r="A14" s="278" t="s">
        <v>975</v>
      </c>
      <c r="B14" s="1697">
        <v>164</v>
      </c>
      <c r="C14" s="1697">
        <v>194</v>
      </c>
      <c r="D14" s="1697">
        <v>217</v>
      </c>
      <c r="E14" s="1697">
        <v>236</v>
      </c>
      <c r="F14" s="110">
        <v>247</v>
      </c>
      <c r="G14" s="228"/>
    </row>
    <row r="15" spans="1:12" s="128" customFormat="1" ht="21" customHeight="1">
      <c r="A15" s="278" t="s">
        <v>976</v>
      </c>
      <c r="B15" s="1697">
        <v>165</v>
      </c>
      <c r="C15" s="1697">
        <v>195</v>
      </c>
      <c r="D15" s="1697">
        <v>219</v>
      </c>
      <c r="E15" s="1697">
        <v>236</v>
      </c>
      <c r="F15" s="110">
        <v>246</v>
      </c>
      <c r="G15" s="228"/>
    </row>
    <row r="16" spans="1:12" s="128" customFormat="1" ht="21" customHeight="1">
      <c r="A16" s="278" t="s">
        <v>977</v>
      </c>
      <c r="B16" s="1697">
        <v>167</v>
      </c>
      <c r="C16" s="1697">
        <v>193</v>
      </c>
      <c r="D16" s="1697">
        <v>219</v>
      </c>
      <c r="E16" s="1697">
        <v>239</v>
      </c>
      <c r="F16" s="110">
        <v>244</v>
      </c>
      <c r="G16" s="228"/>
    </row>
    <row r="17" spans="1:7" s="128" customFormat="1" ht="21" customHeight="1">
      <c r="A17" s="278" t="s">
        <v>978</v>
      </c>
      <c r="B17" s="1697">
        <v>169</v>
      </c>
      <c r="C17" s="1697">
        <v>189</v>
      </c>
      <c r="D17" s="1697">
        <v>219</v>
      </c>
      <c r="E17" s="1697">
        <v>236</v>
      </c>
      <c r="F17" s="110">
        <v>244</v>
      </c>
      <c r="G17" s="228"/>
    </row>
    <row r="18" spans="1:7" s="128" customFormat="1" ht="24.75" customHeight="1">
      <c r="A18" s="1440" t="s">
        <v>265</v>
      </c>
      <c r="B18" s="771">
        <f>AVERAGE(B6:B17)</f>
        <v>160.91666666666666</v>
      </c>
      <c r="C18" s="514">
        <f>AVERAGE(C6:C17)</f>
        <v>184.66666666666666</v>
      </c>
      <c r="D18" s="514">
        <f>AVERAGE(D6:D17)</f>
        <v>210.91666666666666</v>
      </c>
      <c r="E18" s="514">
        <f>AVERAGE(E6:E17)</f>
        <v>230.41666666666666</v>
      </c>
      <c r="F18" s="514">
        <f>AVERAGE(F6:F17)</f>
        <v>241.41666666666666</v>
      </c>
    </row>
    <row r="19" spans="1:7">
      <c r="C19" s="8"/>
      <c r="D19" s="331"/>
      <c r="F19" s="1103" t="s">
        <v>457</v>
      </c>
    </row>
    <row r="20" spans="1:7">
      <c r="C20" s="8"/>
      <c r="D20" s="331"/>
      <c r="F20" s="1794"/>
    </row>
    <row r="21" spans="1:7">
      <c r="C21" s="8"/>
      <c r="D21" s="331"/>
      <c r="E21" s="333"/>
      <c r="F21" s="334"/>
    </row>
    <row r="22" spans="1:7">
      <c r="C22" s="8"/>
      <c r="D22" s="331"/>
      <c r="E22" s="333"/>
      <c r="F22" s="334"/>
    </row>
    <row r="23" spans="1:7" ht="19.5" customHeight="1">
      <c r="A23" s="1825" t="s">
        <v>717</v>
      </c>
      <c r="B23" s="1825"/>
      <c r="C23" s="1825"/>
      <c r="D23" s="1825"/>
      <c r="E23" s="1825"/>
      <c r="F23" s="1825"/>
    </row>
    <row r="24" spans="1:7" ht="14.25" customHeight="1">
      <c r="A24" s="1853" t="str">
        <f>CONCATENATE("Progress of Statutory and Modified Ration Shops 
in the district of ",District!$A$1)</f>
        <v>Progress of Statutory and Modified Ration Shops 
in the district of Purba Medinipur</v>
      </c>
      <c r="B24" s="1853"/>
      <c r="C24" s="1853"/>
      <c r="D24" s="1853"/>
      <c r="E24" s="1853"/>
      <c r="F24" s="1853"/>
    </row>
    <row r="25" spans="1:7" ht="9" customHeight="1">
      <c r="A25" s="1853"/>
      <c r="B25" s="1853"/>
      <c r="C25" s="1853"/>
      <c r="D25" s="1853"/>
      <c r="E25" s="1853"/>
      <c r="F25" s="1853"/>
    </row>
    <row r="26" spans="1:7" ht="9.75" customHeight="1">
      <c r="A26" s="1853"/>
      <c r="B26" s="1853"/>
      <c r="C26" s="1853"/>
      <c r="D26" s="1853"/>
      <c r="E26" s="1853"/>
      <c r="F26" s="1853"/>
    </row>
    <row r="27" spans="1:7" s="128" customFormat="1" ht="13.5" customHeight="1">
      <c r="A27" s="150"/>
      <c r="B27" s="150"/>
      <c r="C27" s="150"/>
      <c r="D27" s="150"/>
      <c r="F27" s="485" t="s">
        <v>1001</v>
      </c>
    </row>
    <row r="28" spans="1:7" s="128" customFormat="1" ht="30" customHeight="1">
      <c r="A28" s="1869" t="s">
        <v>1634</v>
      </c>
      <c r="B28" s="1905"/>
      <c r="C28" s="1929" t="s">
        <v>952</v>
      </c>
      <c r="D28" s="1906"/>
      <c r="E28" s="1930" t="s">
        <v>953</v>
      </c>
      <c r="F28" s="1906"/>
    </row>
    <row r="29" spans="1:7" s="128" customFormat="1" ht="18" customHeight="1">
      <c r="A29" s="2094" t="s">
        <v>955</v>
      </c>
      <c r="B29" s="2099"/>
      <c r="C29" s="2094" t="s">
        <v>956</v>
      </c>
      <c r="D29" s="2099"/>
      <c r="E29" s="2095" t="s">
        <v>957</v>
      </c>
      <c r="F29" s="2099"/>
    </row>
    <row r="30" spans="1:7" s="128" customFormat="1" ht="30" customHeight="1">
      <c r="A30" s="2151" t="s">
        <v>1737</v>
      </c>
      <c r="B30" s="2153"/>
      <c r="C30" s="2147" t="s">
        <v>1384</v>
      </c>
      <c r="D30" s="2148"/>
      <c r="E30" s="2147">
        <v>805</v>
      </c>
      <c r="F30" s="2148"/>
    </row>
    <row r="31" spans="1:7" s="128" customFormat="1" ht="30" customHeight="1">
      <c r="A31" s="2160" t="s">
        <v>1738</v>
      </c>
      <c r="B31" s="2161"/>
      <c r="C31" s="2250" t="s">
        <v>1384</v>
      </c>
      <c r="D31" s="1862"/>
      <c r="E31" s="2250">
        <v>809</v>
      </c>
      <c r="F31" s="1862"/>
    </row>
    <row r="32" spans="1:7" s="128" customFormat="1" ht="30" customHeight="1">
      <c r="A32" s="2160" t="s">
        <v>1739</v>
      </c>
      <c r="B32" s="2161"/>
      <c r="C32" s="2250" t="s">
        <v>1384</v>
      </c>
      <c r="D32" s="1862"/>
      <c r="E32" s="2250">
        <v>835</v>
      </c>
      <c r="F32" s="1862"/>
    </row>
    <row r="33" spans="1:6" s="128" customFormat="1" ht="30" customHeight="1">
      <c r="A33" s="2160" t="s">
        <v>1740</v>
      </c>
      <c r="B33" s="2161"/>
      <c r="C33" s="2250" t="s">
        <v>1384</v>
      </c>
      <c r="D33" s="1862"/>
      <c r="E33" s="2250">
        <v>835</v>
      </c>
      <c r="F33" s="1862"/>
    </row>
    <row r="34" spans="1:6" s="128" customFormat="1" ht="30" customHeight="1">
      <c r="A34" s="2162" t="s">
        <v>1741</v>
      </c>
      <c r="B34" s="2163"/>
      <c r="C34" s="2304" t="s">
        <v>1384</v>
      </c>
      <c r="D34" s="2254"/>
      <c r="E34" s="2304">
        <v>835</v>
      </c>
      <c r="F34" s="2254"/>
    </row>
    <row r="35" spans="1:6" ht="12.75" customHeight="1">
      <c r="A35" s="558"/>
      <c r="B35" s="83"/>
      <c r="C35" s="1063" t="s">
        <v>455</v>
      </c>
      <c r="D35" s="1096" t="s">
        <v>458</v>
      </c>
    </row>
    <row r="36" spans="1:6">
      <c r="A36" s="2"/>
      <c r="B36" s="2"/>
      <c r="C36" s="1063" t="s">
        <v>456</v>
      </c>
      <c r="D36" s="1096" t="s">
        <v>459</v>
      </c>
    </row>
    <row r="37" spans="1:6">
      <c r="C37" s="1096"/>
      <c r="D37" s="1096" t="s">
        <v>460</v>
      </c>
    </row>
    <row r="38" spans="1:6">
      <c r="C38" s="319"/>
      <c r="D38" s="319"/>
    </row>
  </sheetData>
  <mergeCells count="25">
    <mergeCell ref="A1:F1"/>
    <mergeCell ref="A2:F2"/>
    <mergeCell ref="E28:F28"/>
    <mergeCell ref="E29:F29"/>
    <mergeCell ref="A23:F23"/>
    <mergeCell ref="A24:F26"/>
    <mergeCell ref="C29:D29"/>
    <mergeCell ref="C28:D28"/>
    <mergeCell ref="A28:B28"/>
    <mergeCell ref="A29:B29"/>
    <mergeCell ref="E34:F34"/>
    <mergeCell ref="C30:D30"/>
    <mergeCell ref="C31:D31"/>
    <mergeCell ref="C32:D32"/>
    <mergeCell ref="E33:F33"/>
    <mergeCell ref="C33:D33"/>
    <mergeCell ref="E30:F30"/>
    <mergeCell ref="E31:F31"/>
    <mergeCell ref="E32:F32"/>
    <mergeCell ref="C34:D34"/>
    <mergeCell ref="A34:B34"/>
    <mergeCell ref="A30:B30"/>
    <mergeCell ref="A31:B31"/>
    <mergeCell ref="A32:B32"/>
    <mergeCell ref="A33:B33"/>
  </mergeCells>
  <phoneticPr fontId="0" type="noConversion"/>
  <printOptions horizontalCentered="1"/>
  <pageMargins left="0.1" right="0.1" top="0.7" bottom="0.1" header="0.7" footer="0.1"/>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L48"/>
  <sheetViews>
    <sheetView topLeftCell="A34" workbookViewId="0">
      <selection activeCell="A3" sqref="A3:C3"/>
    </sheetView>
  </sheetViews>
  <sheetFormatPr defaultRowHeight="12.75"/>
  <cols>
    <col min="1" max="1" width="12.42578125" style="34" customWidth="1"/>
    <col min="2" max="7" width="6.7109375" customWidth="1"/>
    <col min="8" max="11" width="7.7109375" customWidth="1"/>
  </cols>
  <sheetData>
    <row r="1" spans="1:12" ht="19.5" customHeight="1">
      <c r="A1" s="1825" t="s">
        <v>810</v>
      </c>
      <c r="B1" s="1825"/>
      <c r="C1" s="1825"/>
      <c r="D1" s="1825"/>
      <c r="E1" s="1825"/>
      <c r="F1" s="1825"/>
      <c r="G1" s="1825"/>
      <c r="H1" s="1825"/>
      <c r="I1" s="1825"/>
      <c r="J1" s="1825"/>
      <c r="K1" s="1825"/>
    </row>
    <row r="2" spans="1:12" s="7" customFormat="1" ht="35.25" customHeight="1">
      <c r="A2" s="1853" t="str">
        <f>CONCATENATE("Maximum and Minimum Temperature by month 
in the district of ",District!$A$1)</f>
        <v>Maximum and Minimum Temperature by month 
in the district of Purba Medinipur</v>
      </c>
      <c r="B2" s="1853"/>
      <c r="C2" s="1853"/>
      <c r="D2" s="1853"/>
      <c r="E2" s="1853"/>
      <c r="F2" s="1853"/>
      <c r="G2" s="1853"/>
      <c r="H2" s="1853"/>
      <c r="I2" s="1853"/>
      <c r="J2" s="1853"/>
      <c r="K2" s="1853"/>
    </row>
    <row r="3" spans="1:12" s="7" customFormat="1" ht="13.5" customHeight="1">
      <c r="A3" s="1855" t="s">
        <v>461</v>
      </c>
      <c r="B3" s="1855"/>
      <c r="C3" s="1855"/>
      <c r="D3" s="4"/>
      <c r="E3" s="4"/>
      <c r="F3" s="4"/>
      <c r="G3" s="4"/>
      <c r="H3" s="4"/>
      <c r="I3" s="4"/>
      <c r="J3" s="1854" t="s">
        <v>246</v>
      </c>
      <c r="K3" s="1854"/>
      <c r="L3" s="151"/>
    </row>
    <row r="4" spans="1:12" ht="15" customHeight="1">
      <c r="A4" s="161" t="s">
        <v>963</v>
      </c>
      <c r="B4" s="1672">
        <v>2010</v>
      </c>
      <c r="C4" s="1671"/>
      <c r="D4" s="1672">
        <v>2011</v>
      </c>
      <c r="E4" s="1671"/>
      <c r="F4" s="1672">
        <v>2012</v>
      </c>
      <c r="G4" s="1671"/>
      <c r="H4" s="1829">
        <v>2013</v>
      </c>
      <c r="I4" s="1828"/>
      <c r="J4" s="1829">
        <v>2014</v>
      </c>
      <c r="K4" s="1828"/>
    </row>
    <row r="5" spans="1:12" ht="16.5" customHeight="1">
      <c r="A5" s="161"/>
      <c r="B5" s="1513" t="s">
        <v>1645</v>
      </c>
      <c r="C5" s="1514" t="s">
        <v>1646</v>
      </c>
      <c r="D5" s="1513" t="s">
        <v>1645</v>
      </c>
      <c r="E5" s="1514" t="s">
        <v>1646</v>
      </c>
      <c r="F5" s="1513" t="s">
        <v>1645</v>
      </c>
      <c r="G5" s="1514" t="s">
        <v>1646</v>
      </c>
      <c r="H5" s="1513" t="s">
        <v>1645</v>
      </c>
      <c r="I5" s="1514" t="s">
        <v>1646</v>
      </c>
      <c r="J5" s="1513" t="s">
        <v>1645</v>
      </c>
      <c r="K5" s="1514" t="s">
        <v>1646</v>
      </c>
    </row>
    <row r="6" spans="1:12" ht="18" customHeight="1">
      <c r="A6" s="134" t="s">
        <v>955</v>
      </c>
      <c r="B6" s="137" t="s">
        <v>956</v>
      </c>
      <c r="C6" s="136" t="s">
        <v>957</v>
      </c>
      <c r="D6" s="137" t="s">
        <v>958</v>
      </c>
      <c r="E6" s="136" t="s">
        <v>959</v>
      </c>
      <c r="F6" s="135" t="s">
        <v>961</v>
      </c>
      <c r="G6" s="136" t="s">
        <v>962</v>
      </c>
      <c r="H6" s="135" t="s">
        <v>990</v>
      </c>
      <c r="I6" s="136" t="s">
        <v>991</v>
      </c>
      <c r="J6" s="135" t="s">
        <v>992</v>
      </c>
      <c r="K6" s="136" t="s">
        <v>993</v>
      </c>
    </row>
    <row r="7" spans="1:12" ht="18" customHeight="1">
      <c r="A7" s="267" t="s">
        <v>967</v>
      </c>
      <c r="B7" s="1688">
        <v>28</v>
      </c>
      <c r="C7" s="1674">
        <v>10</v>
      </c>
      <c r="D7" s="1688">
        <v>29</v>
      </c>
      <c r="E7" s="1674">
        <v>8</v>
      </c>
      <c r="F7" s="1688">
        <v>29</v>
      </c>
      <c r="G7" s="1674">
        <v>8</v>
      </c>
      <c r="H7" s="1688">
        <v>28</v>
      </c>
      <c r="I7" s="1674">
        <v>7</v>
      </c>
      <c r="J7" s="407">
        <v>29</v>
      </c>
      <c r="K7" s="408">
        <v>11</v>
      </c>
    </row>
    <row r="8" spans="1:12" ht="18" customHeight="1">
      <c r="A8" s="267" t="s">
        <v>968</v>
      </c>
      <c r="B8" s="1688">
        <v>31</v>
      </c>
      <c r="C8" s="1674">
        <v>13</v>
      </c>
      <c r="D8" s="1688">
        <v>32</v>
      </c>
      <c r="E8" s="1674">
        <v>13</v>
      </c>
      <c r="F8" s="1688">
        <v>35</v>
      </c>
      <c r="G8" s="1674">
        <v>10</v>
      </c>
      <c r="H8" s="1688">
        <v>32</v>
      </c>
      <c r="I8" s="1674">
        <v>12</v>
      </c>
      <c r="J8" s="407">
        <v>30</v>
      </c>
      <c r="K8" s="408">
        <v>12</v>
      </c>
    </row>
    <row r="9" spans="1:12" ht="18" customHeight="1">
      <c r="A9" s="267" t="s">
        <v>969</v>
      </c>
      <c r="B9" s="1688">
        <v>35</v>
      </c>
      <c r="C9" s="1674">
        <v>21</v>
      </c>
      <c r="D9" s="1688">
        <v>36</v>
      </c>
      <c r="E9" s="1674">
        <v>14</v>
      </c>
      <c r="F9" s="1688">
        <v>33</v>
      </c>
      <c r="G9" s="1674">
        <v>19</v>
      </c>
      <c r="H9" s="1688">
        <v>36</v>
      </c>
      <c r="I9" s="1674">
        <v>16</v>
      </c>
      <c r="J9" s="407">
        <v>34</v>
      </c>
      <c r="K9" s="408">
        <v>17</v>
      </c>
    </row>
    <row r="10" spans="1:12" ht="18" customHeight="1">
      <c r="A10" s="267" t="s">
        <v>970</v>
      </c>
      <c r="B10" s="1688">
        <v>34</v>
      </c>
      <c r="C10" s="1674">
        <v>26</v>
      </c>
      <c r="D10" s="1688">
        <v>34</v>
      </c>
      <c r="E10" s="1674">
        <v>19</v>
      </c>
      <c r="F10" s="1688">
        <v>35</v>
      </c>
      <c r="G10" s="1674">
        <v>20</v>
      </c>
      <c r="H10" s="1688">
        <v>38</v>
      </c>
      <c r="I10" s="1674">
        <v>18</v>
      </c>
      <c r="J10" s="407">
        <v>39</v>
      </c>
      <c r="K10" s="408">
        <v>22</v>
      </c>
    </row>
    <row r="11" spans="1:12" ht="18" customHeight="1">
      <c r="A11" s="267" t="s">
        <v>971</v>
      </c>
      <c r="B11" s="1688">
        <v>35</v>
      </c>
      <c r="C11" s="1674">
        <v>20</v>
      </c>
      <c r="D11" s="1688">
        <v>35</v>
      </c>
      <c r="E11" s="1674">
        <v>22</v>
      </c>
      <c r="F11" s="1688">
        <v>35</v>
      </c>
      <c r="G11" s="1674">
        <v>22</v>
      </c>
      <c r="H11" s="1688">
        <v>35</v>
      </c>
      <c r="I11" s="1674">
        <v>23</v>
      </c>
      <c r="J11" s="407">
        <v>36</v>
      </c>
      <c r="K11" s="408">
        <v>22</v>
      </c>
    </row>
    <row r="12" spans="1:12" ht="18" customHeight="1">
      <c r="A12" s="267" t="s">
        <v>972</v>
      </c>
      <c r="B12" s="1688">
        <v>36</v>
      </c>
      <c r="C12" s="1674">
        <v>23</v>
      </c>
      <c r="D12" s="1688">
        <v>35</v>
      </c>
      <c r="E12" s="1674">
        <v>25</v>
      </c>
      <c r="F12" s="1688">
        <v>37</v>
      </c>
      <c r="G12" s="1674">
        <v>24</v>
      </c>
      <c r="H12" s="1688">
        <v>35</v>
      </c>
      <c r="I12" s="1674">
        <v>23</v>
      </c>
      <c r="J12" s="407">
        <v>37</v>
      </c>
      <c r="K12" s="408">
        <v>20</v>
      </c>
    </row>
    <row r="13" spans="1:12" ht="18" customHeight="1">
      <c r="A13" s="267" t="s">
        <v>973</v>
      </c>
      <c r="B13" s="1688">
        <v>35</v>
      </c>
      <c r="C13" s="1674">
        <v>26</v>
      </c>
      <c r="D13" s="1688">
        <v>35</v>
      </c>
      <c r="E13" s="1674">
        <v>24</v>
      </c>
      <c r="F13" s="1688">
        <v>34</v>
      </c>
      <c r="G13" s="1674">
        <v>24</v>
      </c>
      <c r="H13" s="1688" t="s">
        <v>918</v>
      </c>
      <c r="I13" s="1674" t="s">
        <v>918</v>
      </c>
      <c r="J13" s="407">
        <v>35</v>
      </c>
      <c r="K13" s="408">
        <v>25</v>
      </c>
    </row>
    <row r="14" spans="1:12" ht="18" customHeight="1">
      <c r="A14" s="267" t="s">
        <v>974</v>
      </c>
      <c r="B14" s="1688">
        <v>35</v>
      </c>
      <c r="C14" s="1674">
        <v>25</v>
      </c>
      <c r="D14" s="1688">
        <v>35</v>
      </c>
      <c r="E14" s="1674">
        <v>25</v>
      </c>
      <c r="F14" s="1688">
        <v>35</v>
      </c>
      <c r="G14" s="1674">
        <v>25</v>
      </c>
      <c r="H14" s="1688" t="s">
        <v>918</v>
      </c>
      <c r="I14" s="1674" t="s">
        <v>918</v>
      </c>
      <c r="J14" s="407">
        <v>34</v>
      </c>
      <c r="K14" s="408">
        <v>25</v>
      </c>
    </row>
    <row r="15" spans="1:12" ht="18" customHeight="1">
      <c r="A15" s="267" t="s">
        <v>975</v>
      </c>
      <c r="B15" s="1688">
        <v>34</v>
      </c>
      <c r="C15" s="1674">
        <v>24</v>
      </c>
      <c r="D15" s="1688">
        <v>34</v>
      </c>
      <c r="E15" s="1674">
        <v>25</v>
      </c>
      <c r="F15" s="1688" t="s">
        <v>918</v>
      </c>
      <c r="G15" s="1674" t="s">
        <v>918</v>
      </c>
      <c r="H15" s="1688">
        <v>35</v>
      </c>
      <c r="I15" s="1674">
        <v>24</v>
      </c>
      <c r="J15" s="407">
        <v>35</v>
      </c>
      <c r="K15" s="408">
        <v>24</v>
      </c>
    </row>
    <row r="16" spans="1:12" ht="18" customHeight="1">
      <c r="A16" s="267" t="s">
        <v>976</v>
      </c>
      <c r="B16" s="1688">
        <v>35</v>
      </c>
      <c r="C16" s="1674">
        <v>21</v>
      </c>
      <c r="D16" s="1688">
        <v>34</v>
      </c>
      <c r="E16" s="1674">
        <v>18</v>
      </c>
      <c r="F16" s="1688">
        <v>34</v>
      </c>
      <c r="G16" s="1674">
        <v>17</v>
      </c>
      <c r="H16" s="1688">
        <v>34</v>
      </c>
      <c r="I16" s="1674">
        <v>21</v>
      </c>
      <c r="J16" s="407">
        <v>36</v>
      </c>
      <c r="K16" s="408">
        <v>21</v>
      </c>
    </row>
    <row r="17" spans="1:11" ht="18" customHeight="1">
      <c r="A17" s="267" t="s">
        <v>977</v>
      </c>
      <c r="B17" s="1688">
        <v>34</v>
      </c>
      <c r="C17" s="1674">
        <v>16</v>
      </c>
      <c r="D17" s="1688">
        <v>33</v>
      </c>
      <c r="E17" s="1674">
        <v>17</v>
      </c>
      <c r="F17" s="1688">
        <v>33</v>
      </c>
      <c r="G17" s="1674">
        <v>13</v>
      </c>
      <c r="H17" s="1688" t="s">
        <v>918</v>
      </c>
      <c r="I17" s="1674" t="s">
        <v>918</v>
      </c>
      <c r="J17" s="407">
        <v>33</v>
      </c>
      <c r="K17" s="408">
        <v>13</v>
      </c>
    </row>
    <row r="18" spans="1:11" ht="18" customHeight="1">
      <c r="A18" s="267" t="s">
        <v>978</v>
      </c>
      <c r="B18" s="1688">
        <v>29</v>
      </c>
      <c r="C18" s="1674">
        <v>9</v>
      </c>
      <c r="D18" s="1688">
        <v>30</v>
      </c>
      <c r="E18" s="1674">
        <v>10</v>
      </c>
      <c r="F18" s="1688">
        <v>31</v>
      </c>
      <c r="G18" s="1674">
        <v>8</v>
      </c>
      <c r="H18" s="1688">
        <v>30</v>
      </c>
      <c r="I18" s="1674">
        <v>11</v>
      </c>
      <c r="J18" s="407">
        <v>30</v>
      </c>
      <c r="K18" s="408">
        <v>9</v>
      </c>
    </row>
    <row r="19" spans="1:11" ht="21" customHeight="1">
      <c r="A19" s="477" t="s">
        <v>1146</v>
      </c>
      <c r="B19" s="138">
        <f>MAX(B7:B18)</f>
        <v>36</v>
      </c>
      <c r="C19" s="139">
        <f>MIN(C7:C18)</f>
        <v>9</v>
      </c>
      <c r="D19" s="138">
        <f>MAX(D7:D18)</f>
        <v>36</v>
      </c>
      <c r="E19" s="139">
        <f>MIN(E7:E18)</f>
        <v>8</v>
      </c>
      <c r="F19" s="138">
        <f>MAX(F7:F18)</f>
        <v>37</v>
      </c>
      <c r="G19" s="139">
        <f>MIN(G7:G18)</f>
        <v>8</v>
      </c>
      <c r="H19" s="138">
        <f>MAX(H7:H18)</f>
        <v>38</v>
      </c>
      <c r="I19" s="139">
        <f>MIN(I7:I18)</f>
        <v>7</v>
      </c>
      <c r="J19" s="138">
        <f>MAX(J7:J18)</f>
        <v>39</v>
      </c>
      <c r="K19" s="139">
        <f>MIN(K7:K18)</f>
        <v>9</v>
      </c>
    </row>
    <row r="20" spans="1:11">
      <c r="A20" s="1150"/>
      <c r="I20" s="409"/>
      <c r="J20" s="409"/>
      <c r="K20" s="248" t="s">
        <v>1005</v>
      </c>
    </row>
    <row r="21" spans="1:11">
      <c r="A21" s="1150"/>
      <c r="I21" s="409"/>
      <c r="J21" s="409"/>
      <c r="K21" s="248"/>
    </row>
    <row r="22" spans="1:11">
      <c r="A22" s="7"/>
      <c r="I22" s="24"/>
      <c r="J22" s="24"/>
      <c r="K22" s="24"/>
    </row>
    <row r="23" spans="1:11">
      <c r="A23" s="1825" t="s">
        <v>808</v>
      </c>
      <c r="B23" s="1825"/>
      <c r="C23" s="1825"/>
      <c r="D23" s="1825"/>
      <c r="E23" s="1825"/>
      <c r="F23" s="1825"/>
      <c r="G23" s="1825"/>
      <c r="H23" s="1825"/>
      <c r="I23" s="1825"/>
      <c r="J23" s="1825"/>
      <c r="K23" s="1825"/>
    </row>
    <row r="24" spans="1:11" ht="35.25" customHeight="1">
      <c r="A24" s="1857" t="str">
        <f>CONCATENATE("Mean Maximum and Mean Minimum Temperature by month
 in the district of ",District!$A$1)</f>
        <v>Mean Maximum and Mean Minimum Temperature by month
 in the district of Purba Medinipur</v>
      </c>
      <c r="B24" s="1857"/>
      <c r="C24" s="1857"/>
      <c r="D24" s="1857"/>
      <c r="E24" s="1857"/>
      <c r="F24" s="1857"/>
      <c r="G24" s="1857"/>
      <c r="H24" s="1857"/>
      <c r="I24" s="1857"/>
      <c r="J24" s="1857"/>
      <c r="K24" s="1857"/>
    </row>
    <row r="25" spans="1:11">
      <c r="A25" s="1856" t="s">
        <v>461</v>
      </c>
      <c r="B25" s="1856"/>
      <c r="J25" s="5"/>
      <c r="K25" s="204" t="s">
        <v>994</v>
      </c>
    </row>
    <row r="26" spans="1:11" ht="15.95" customHeight="1">
      <c r="A26" s="1831" t="s">
        <v>963</v>
      </c>
      <c r="B26" s="1672">
        <v>2010</v>
      </c>
      <c r="C26" s="1671"/>
      <c r="D26" s="1672">
        <v>2011</v>
      </c>
      <c r="E26" s="1671"/>
      <c r="F26" s="1672">
        <v>2012</v>
      </c>
      <c r="G26" s="1671"/>
      <c r="H26" s="1829">
        <v>2013</v>
      </c>
      <c r="I26" s="1828"/>
      <c r="J26" s="1829">
        <v>2014</v>
      </c>
      <c r="K26" s="1828"/>
    </row>
    <row r="27" spans="1:11" ht="15.95" customHeight="1">
      <c r="A27" s="1858"/>
      <c r="B27" s="412" t="s">
        <v>995</v>
      </c>
      <c r="C27" s="403" t="s">
        <v>995</v>
      </c>
      <c r="D27" s="412" t="s">
        <v>995</v>
      </c>
      <c r="E27" s="403" t="s">
        <v>995</v>
      </c>
      <c r="F27" s="412" t="s">
        <v>995</v>
      </c>
      <c r="G27" s="413" t="s">
        <v>995</v>
      </c>
      <c r="H27" s="405" t="s">
        <v>995</v>
      </c>
      <c r="I27" s="831" t="s">
        <v>995</v>
      </c>
      <c r="J27" s="413" t="s">
        <v>995</v>
      </c>
      <c r="K27" s="403" t="s">
        <v>995</v>
      </c>
    </row>
    <row r="28" spans="1:11" ht="15.95" customHeight="1">
      <c r="A28" s="1832"/>
      <c r="B28" s="1513" t="s">
        <v>1645</v>
      </c>
      <c r="C28" s="1514" t="s">
        <v>1646</v>
      </c>
      <c r="D28" s="1513" t="s">
        <v>1645</v>
      </c>
      <c r="E28" s="1514" t="s">
        <v>1646</v>
      </c>
      <c r="F28" s="1513" t="s">
        <v>1645</v>
      </c>
      <c r="G28" s="1515" t="s">
        <v>1646</v>
      </c>
      <c r="H28" s="1513" t="s">
        <v>1645</v>
      </c>
      <c r="I28" s="1514" t="s">
        <v>1646</v>
      </c>
      <c r="J28" s="1515" t="s">
        <v>1645</v>
      </c>
      <c r="K28" s="1514" t="s">
        <v>1646</v>
      </c>
    </row>
    <row r="29" spans="1:11" ht="15.95" customHeight="1">
      <c r="A29" s="134" t="s">
        <v>955</v>
      </c>
      <c r="B29" s="135" t="s">
        <v>956</v>
      </c>
      <c r="C29" s="135" t="s">
        <v>957</v>
      </c>
      <c r="D29" s="137" t="s">
        <v>958</v>
      </c>
      <c r="E29" s="135" t="s">
        <v>959</v>
      </c>
      <c r="F29" s="137" t="s">
        <v>961</v>
      </c>
      <c r="G29" s="135" t="s">
        <v>962</v>
      </c>
      <c r="H29" s="137" t="s">
        <v>990</v>
      </c>
      <c r="I29" s="136" t="s">
        <v>991</v>
      </c>
      <c r="J29" s="137" t="s">
        <v>992</v>
      </c>
      <c r="K29" s="136" t="s">
        <v>993</v>
      </c>
    </row>
    <row r="30" spans="1:11" ht="18" customHeight="1">
      <c r="A30" s="285" t="s">
        <v>967</v>
      </c>
      <c r="B30" s="1688">
        <v>24</v>
      </c>
      <c r="C30" s="1674">
        <v>12</v>
      </c>
      <c r="D30" s="1688">
        <v>25</v>
      </c>
      <c r="E30" s="1674">
        <v>13</v>
      </c>
      <c r="F30" s="1688">
        <v>25</v>
      </c>
      <c r="G30" s="1674">
        <v>15</v>
      </c>
      <c r="H30" s="1688">
        <v>25</v>
      </c>
      <c r="I30" s="1674">
        <v>17</v>
      </c>
      <c r="J30" s="407">
        <v>26</v>
      </c>
      <c r="K30" s="408">
        <v>13</v>
      </c>
    </row>
    <row r="31" spans="1:11" ht="18" customHeight="1">
      <c r="A31" s="285" t="s">
        <v>968</v>
      </c>
      <c r="B31" s="1688">
        <v>28</v>
      </c>
      <c r="C31" s="1674">
        <v>19</v>
      </c>
      <c r="D31" s="1688">
        <v>28</v>
      </c>
      <c r="E31" s="1674">
        <v>17</v>
      </c>
      <c r="F31" s="1688">
        <v>29</v>
      </c>
      <c r="G31" s="1674">
        <v>17</v>
      </c>
      <c r="H31" s="1688">
        <v>28</v>
      </c>
      <c r="I31" s="1674">
        <v>16</v>
      </c>
      <c r="J31" s="407">
        <v>28</v>
      </c>
      <c r="K31" s="408">
        <v>17</v>
      </c>
    </row>
    <row r="32" spans="1:11" ht="18" customHeight="1">
      <c r="A32" s="285" t="s">
        <v>969</v>
      </c>
      <c r="B32" s="1688">
        <v>31</v>
      </c>
      <c r="C32" s="1674">
        <v>24</v>
      </c>
      <c r="D32" s="1688">
        <v>31</v>
      </c>
      <c r="E32" s="1674">
        <v>22</v>
      </c>
      <c r="F32" s="1688">
        <v>31</v>
      </c>
      <c r="G32" s="1674">
        <v>23</v>
      </c>
      <c r="H32" s="1688">
        <v>32</v>
      </c>
      <c r="I32" s="1674">
        <v>28</v>
      </c>
      <c r="J32" s="407">
        <v>31</v>
      </c>
      <c r="K32" s="408">
        <v>22</v>
      </c>
    </row>
    <row r="33" spans="1:11" ht="18" customHeight="1">
      <c r="A33" s="287" t="s">
        <v>970</v>
      </c>
      <c r="B33" s="1688">
        <v>33</v>
      </c>
      <c r="C33" s="1674">
        <v>27</v>
      </c>
      <c r="D33" s="1688">
        <v>32</v>
      </c>
      <c r="E33" s="1674">
        <v>25</v>
      </c>
      <c r="F33" s="1688">
        <v>33</v>
      </c>
      <c r="G33" s="1674">
        <v>26</v>
      </c>
      <c r="H33" s="1688">
        <v>33</v>
      </c>
      <c r="I33" s="1674">
        <v>25</v>
      </c>
      <c r="J33" s="407">
        <v>34</v>
      </c>
      <c r="K33" s="408">
        <v>26</v>
      </c>
    </row>
    <row r="34" spans="1:11" ht="18" customHeight="1">
      <c r="A34" s="285" t="s">
        <v>971</v>
      </c>
      <c r="B34" s="1688">
        <v>33</v>
      </c>
      <c r="C34" s="1674">
        <v>27</v>
      </c>
      <c r="D34" s="1688">
        <v>33</v>
      </c>
      <c r="E34" s="1674">
        <v>26</v>
      </c>
      <c r="F34" s="1688">
        <v>34</v>
      </c>
      <c r="G34" s="1674">
        <v>27</v>
      </c>
      <c r="H34" s="1688">
        <v>33</v>
      </c>
      <c r="I34" s="1674">
        <v>27</v>
      </c>
      <c r="J34" s="407">
        <v>34</v>
      </c>
      <c r="K34" s="408">
        <v>27</v>
      </c>
    </row>
    <row r="35" spans="1:11" ht="18" customHeight="1">
      <c r="A35" s="285" t="s">
        <v>972</v>
      </c>
      <c r="B35" s="1688">
        <v>33</v>
      </c>
      <c r="C35" s="1674">
        <v>28</v>
      </c>
      <c r="D35" s="1688">
        <v>32</v>
      </c>
      <c r="E35" s="1674">
        <v>27</v>
      </c>
      <c r="F35" s="1688">
        <v>34</v>
      </c>
      <c r="G35" s="1674">
        <v>28</v>
      </c>
      <c r="H35" s="1688">
        <v>33</v>
      </c>
      <c r="I35" s="1674">
        <v>27</v>
      </c>
      <c r="J35" s="407">
        <v>34</v>
      </c>
      <c r="K35" s="408">
        <v>28</v>
      </c>
    </row>
    <row r="36" spans="1:11" ht="18" customHeight="1">
      <c r="A36" s="285" t="s">
        <v>973</v>
      </c>
      <c r="B36" s="1688">
        <v>32</v>
      </c>
      <c r="C36" s="1674">
        <v>27</v>
      </c>
      <c r="D36" s="1688">
        <v>32</v>
      </c>
      <c r="E36" s="1674">
        <v>27</v>
      </c>
      <c r="F36" s="1688">
        <v>32</v>
      </c>
      <c r="G36" s="1674">
        <v>27</v>
      </c>
      <c r="H36" s="1688" t="s">
        <v>918</v>
      </c>
      <c r="I36" s="1674" t="s">
        <v>918</v>
      </c>
      <c r="J36" s="407">
        <v>32</v>
      </c>
      <c r="K36" s="408">
        <v>27</v>
      </c>
    </row>
    <row r="37" spans="1:11" ht="18" customHeight="1">
      <c r="A37" s="285" t="s">
        <v>974</v>
      </c>
      <c r="B37" s="1688">
        <v>32</v>
      </c>
      <c r="C37" s="1674">
        <v>27</v>
      </c>
      <c r="D37" s="1688">
        <v>31</v>
      </c>
      <c r="E37" s="1674">
        <v>26</v>
      </c>
      <c r="F37" s="1688">
        <v>32</v>
      </c>
      <c r="G37" s="1674">
        <v>26</v>
      </c>
      <c r="H37" s="1688" t="s">
        <v>918</v>
      </c>
      <c r="I37" s="1674" t="s">
        <v>918</v>
      </c>
      <c r="J37" s="407">
        <v>32</v>
      </c>
      <c r="K37" s="408">
        <v>27</v>
      </c>
    </row>
    <row r="38" spans="1:11" ht="18" customHeight="1">
      <c r="A38" s="285" t="s">
        <v>975</v>
      </c>
      <c r="B38" s="1688">
        <v>32</v>
      </c>
      <c r="C38" s="1674">
        <v>26</v>
      </c>
      <c r="D38" s="1688">
        <v>31</v>
      </c>
      <c r="E38" s="1674">
        <v>26</v>
      </c>
      <c r="F38" s="1688" t="s">
        <v>918</v>
      </c>
      <c r="G38" s="1674" t="s">
        <v>918</v>
      </c>
      <c r="H38" s="1688">
        <v>33</v>
      </c>
      <c r="I38" s="1674">
        <v>26</v>
      </c>
      <c r="J38" s="407">
        <v>33</v>
      </c>
      <c r="K38" s="408">
        <v>27</v>
      </c>
    </row>
    <row r="39" spans="1:11" ht="18" customHeight="1">
      <c r="A39" s="285" t="s">
        <v>976</v>
      </c>
      <c r="B39" s="1688">
        <v>31</v>
      </c>
      <c r="C39" s="1674">
        <v>24</v>
      </c>
      <c r="D39" s="1688">
        <v>33</v>
      </c>
      <c r="E39" s="1674">
        <v>24</v>
      </c>
      <c r="F39" s="1688">
        <v>32</v>
      </c>
      <c r="G39" s="1674">
        <v>23</v>
      </c>
      <c r="H39" s="1688">
        <v>31</v>
      </c>
      <c r="I39" s="1674">
        <v>24</v>
      </c>
      <c r="J39" s="407">
        <v>33</v>
      </c>
      <c r="K39" s="408">
        <v>24</v>
      </c>
    </row>
    <row r="40" spans="1:11" ht="18" customHeight="1">
      <c r="A40" s="285" t="s">
        <v>977</v>
      </c>
      <c r="B40" s="1688">
        <v>31</v>
      </c>
      <c r="C40" s="1674">
        <v>21</v>
      </c>
      <c r="D40" s="1688">
        <v>30</v>
      </c>
      <c r="E40" s="1674">
        <v>19</v>
      </c>
      <c r="F40" s="1688">
        <v>29</v>
      </c>
      <c r="G40" s="1674">
        <v>19</v>
      </c>
      <c r="H40" s="1688" t="s">
        <v>918</v>
      </c>
      <c r="I40" s="1674" t="s">
        <v>918</v>
      </c>
      <c r="J40" s="407">
        <v>30</v>
      </c>
      <c r="K40" s="408">
        <v>18</v>
      </c>
    </row>
    <row r="41" spans="1:11" ht="18" customHeight="1">
      <c r="A41" s="274" t="s">
        <v>978</v>
      </c>
      <c r="B41" s="1689">
        <v>26</v>
      </c>
      <c r="C41" s="1690">
        <v>14</v>
      </c>
      <c r="D41" s="1689">
        <v>30</v>
      </c>
      <c r="E41" s="1690">
        <v>10</v>
      </c>
      <c r="F41" s="1689">
        <v>26</v>
      </c>
      <c r="G41" s="1690">
        <v>14</v>
      </c>
      <c r="H41" s="1689">
        <v>27</v>
      </c>
      <c r="I41" s="1690">
        <v>19</v>
      </c>
      <c r="J41" s="341">
        <v>27</v>
      </c>
      <c r="K41" s="632">
        <v>14</v>
      </c>
    </row>
    <row r="42" spans="1:11" ht="15.95" customHeight="1">
      <c r="A42" s="1151"/>
      <c r="B42" s="7"/>
      <c r="C42" s="7"/>
      <c r="D42" s="7"/>
      <c r="E42" s="7"/>
      <c r="F42" s="7"/>
      <c r="G42" s="7"/>
      <c r="H42" s="7"/>
      <c r="I42" s="7"/>
      <c r="J42" s="7"/>
      <c r="K42" s="248" t="s">
        <v>1005</v>
      </c>
    </row>
    <row r="43" spans="1:11">
      <c r="A43" s="7"/>
    </row>
    <row r="44" spans="1:11">
      <c r="A44" s="7"/>
    </row>
    <row r="45" spans="1:11">
      <c r="A45" s="7"/>
    </row>
    <row r="46" spans="1:11">
      <c r="A46" s="7"/>
    </row>
    <row r="47" spans="1:11">
      <c r="A47" s="7"/>
    </row>
    <row r="48" spans="1:11">
      <c r="A48" s="7"/>
    </row>
  </sheetData>
  <mergeCells count="12">
    <mergeCell ref="A25:B25"/>
    <mergeCell ref="A23:K23"/>
    <mergeCell ref="A24:K24"/>
    <mergeCell ref="A26:A28"/>
    <mergeCell ref="H26:I26"/>
    <mergeCell ref="J26:K26"/>
    <mergeCell ref="A1:K1"/>
    <mergeCell ref="A2:K2"/>
    <mergeCell ref="J3:K3"/>
    <mergeCell ref="A3:C3"/>
    <mergeCell ref="J4:K4"/>
    <mergeCell ref="H4:I4"/>
  </mergeCells>
  <phoneticPr fontId="0" type="noConversion"/>
  <conditionalFormatting sqref="E27:E65536 C1:C3 C27:C65536 E1:E3 G1:G3 G27:G65536 C5:C25 E5:E25 F1:F1048576 G5:G25 H1:IV1048576 D5:K5 B28:K28 F4:I4 B7:I18 D1:D1048576 F26:I26 A1:B1048576 B30:I41">
    <cfRule type="cellIs" dxfId="10" priority="1" stopIfTrue="1" operator="equal">
      <formula>".."</formula>
    </cfRule>
  </conditionalFormatting>
  <printOptions horizontalCentered="1"/>
  <pageMargins left="0.1" right="0.1" top="0.56999999999999995" bottom="0.1" header="0.24" footer="0.1"/>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dimension ref="B1:P31"/>
  <sheetViews>
    <sheetView workbookViewId="0">
      <selection activeCell="K28" sqref="K28"/>
    </sheetView>
  </sheetViews>
  <sheetFormatPr defaultRowHeight="12.75"/>
  <cols>
    <col min="1" max="1" width="8.5703125" customWidth="1"/>
    <col min="2" max="2" width="6.7109375" customWidth="1"/>
    <col min="3" max="3" width="3.7109375" customWidth="1"/>
    <col min="4" max="4" width="9.5703125" customWidth="1"/>
    <col min="5" max="5" width="10.28515625" customWidth="1"/>
    <col min="6" max="6" width="8" customWidth="1"/>
    <col min="7" max="7" width="9.28515625" customWidth="1"/>
    <col min="8" max="8" width="10.140625" customWidth="1"/>
    <col min="9" max="9" width="8.7109375" customWidth="1"/>
    <col min="10" max="10" width="9.5703125" customWidth="1"/>
    <col min="11" max="11" width="10.28515625" customWidth="1"/>
    <col min="12" max="12" width="9.5703125" customWidth="1"/>
    <col min="13" max="13" width="11.42578125" customWidth="1"/>
    <col min="14" max="14" width="12.140625" customWidth="1"/>
    <col min="15" max="15" width="12.85546875" customWidth="1"/>
  </cols>
  <sheetData>
    <row r="1" spans="2:15" ht="18" customHeight="1">
      <c r="B1" s="1825" t="s">
        <v>715</v>
      </c>
      <c r="C1" s="1825"/>
      <c r="D1" s="1825"/>
      <c r="E1" s="1825"/>
      <c r="F1" s="1825"/>
      <c r="G1" s="1825"/>
      <c r="H1" s="1825"/>
      <c r="I1" s="1825"/>
      <c r="J1" s="1825"/>
      <c r="K1" s="1825"/>
      <c r="L1" s="1825"/>
      <c r="M1" s="1825"/>
      <c r="N1" s="1825"/>
      <c r="O1" s="1825"/>
    </row>
    <row r="2" spans="2:15" ht="19.5" customHeight="1">
      <c r="B2" s="2323" t="str">
        <f>CONCATENATE("Length of Roads maintained by P.W.D., Zilla Parishad and Panchayat in the district of ",District!A1)</f>
        <v>Length of Roads maintained by P.W.D., Zilla Parishad and Panchayat in the district of Purba Medinipur</v>
      </c>
      <c r="C2" s="2323"/>
      <c r="D2" s="2323"/>
      <c r="E2" s="2323"/>
      <c r="F2" s="2323"/>
      <c r="G2" s="2323"/>
      <c r="H2" s="2323"/>
      <c r="I2" s="2323"/>
      <c r="J2" s="2323"/>
      <c r="K2" s="2323"/>
      <c r="L2" s="2323"/>
      <c r="M2" s="2323"/>
      <c r="N2" s="2323"/>
      <c r="O2" s="2323"/>
    </row>
    <row r="3" spans="2:15" ht="14.25" customHeight="1">
      <c r="C3" s="7"/>
      <c r="D3" s="7"/>
      <c r="E3" s="7"/>
      <c r="F3" s="7"/>
      <c r="G3" s="7"/>
      <c r="H3" s="7"/>
      <c r="I3" s="7"/>
      <c r="M3" s="2317" t="s">
        <v>266</v>
      </c>
      <c r="N3" s="2317"/>
      <c r="O3" s="2317"/>
    </row>
    <row r="4" spans="2:15" ht="27" customHeight="1">
      <c r="B4" s="1866" t="s">
        <v>899</v>
      </c>
      <c r="C4" s="1906"/>
      <c r="D4" s="1829" t="s">
        <v>267</v>
      </c>
      <c r="E4" s="1827"/>
      <c r="F4" s="1828"/>
      <c r="G4" s="1829" t="s">
        <v>268</v>
      </c>
      <c r="H4" s="1827"/>
      <c r="I4" s="1828"/>
      <c r="J4" s="2320" t="s">
        <v>1185</v>
      </c>
      <c r="K4" s="2321"/>
      <c r="L4" s="1955"/>
      <c r="M4" s="1939" t="s">
        <v>22</v>
      </c>
      <c r="N4" s="1827"/>
      <c r="O4" s="1828"/>
    </row>
    <row r="5" spans="2:15" ht="18" customHeight="1">
      <c r="B5" s="1859"/>
      <c r="C5" s="2089"/>
      <c r="D5" s="160" t="s">
        <v>938</v>
      </c>
      <c r="E5" s="160" t="s">
        <v>413</v>
      </c>
      <c r="F5" s="403" t="s">
        <v>979</v>
      </c>
      <c r="G5" s="160" t="s">
        <v>938</v>
      </c>
      <c r="H5" s="160" t="s">
        <v>413</v>
      </c>
      <c r="I5" s="403" t="s">
        <v>979</v>
      </c>
      <c r="J5" s="160" t="s">
        <v>938</v>
      </c>
      <c r="K5" s="160" t="s">
        <v>413</v>
      </c>
      <c r="L5" s="403" t="s">
        <v>979</v>
      </c>
      <c r="M5" s="160" t="s">
        <v>938</v>
      </c>
      <c r="N5" s="160" t="s">
        <v>413</v>
      </c>
      <c r="O5" s="403" t="s">
        <v>979</v>
      </c>
    </row>
    <row r="6" spans="2:15" ht="17.25" customHeight="1">
      <c r="B6" s="2318" t="s">
        <v>955</v>
      </c>
      <c r="C6" s="2319"/>
      <c r="D6" s="134" t="s">
        <v>956</v>
      </c>
      <c r="E6" s="134" t="s">
        <v>957</v>
      </c>
      <c r="F6" s="136" t="s">
        <v>958</v>
      </c>
      <c r="G6" s="134" t="s">
        <v>959</v>
      </c>
      <c r="H6" s="134" t="s">
        <v>961</v>
      </c>
      <c r="I6" s="136" t="s">
        <v>962</v>
      </c>
      <c r="J6" s="134" t="s">
        <v>990</v>
      </c>
      <c r="K6" s="134" t="s">
        <v>991</v>
      </c>
      <c r="L6" s="136" t="s">
        <v>992</v>
      </c>
      <c r="M6" s="134" t="s">
        <v>993</v>
      </c>
      <c r="N6" s="134" t="s">
        <v>1046</v>
      </c>
      <c r="O6" s="136" t="s">
        <v>1048</v>
      </c>
    </row>
    <row r="7" spans="2:15" ht="20.100000000000001" customHeight="1">
      <c r="B7" s="2123" t="s">
        <v>1356</v>
      </c>
      <c r="C7" s="2124"/>
      <c r="D7" s="675">
        <v>906</v>
      </c>
      <c r="E7" s="675">
        <v>44</v>
      </c>
      <c r="F7" s="934">
        <f>SUM(D7:E7)</f>
        <v>950</v>
      </c>
      <c r="G7" s="675">
        <v>1174</v>
      </c>
      <c r="H7" s="675">
        <v>372</v>
      </c>
      <c r="I7" s="934">
        <f>SUM(G7:H7)</f>
        <v>1546</v>
      </c>
      <c r="J7" s="675">
        <v>9073</v>
      </c>
      <c r="K7" s="675">
        <v>3818</v>
      </c>
      <c r="L7" s="934">
        <f>SUM(J7:K7)</f>
        <v>12891</v>
      </c>
      <c r="M7" s="949">
        <v>518.5</v>
      </c>
      <c r="N7" s="758" t="s">
        <v>1384</v>
      </c>
      <c r="O7" s="934">
        <f>SUM(M7:N7)</f>
        <v>518.5</v>
      </c>
    </row>
    <row r="8" spans="2:15" ht="20.100000000000001" customHeight="1">
      <c r="B8" s="1847" t="s">
        <v>306</v>
      </c>
      <c r="C8" s="1848"/>
      <c r="D8" s="675">
        <v>918</v>
      </c>
      <c r="E8" s="675">
        <v>44</v>
      </c>
      <c r="F8" s="934">
        <f>SUM(D8:E8)</f>
        <v>962</v>
      </c>
      <c r="G8" s="675">
        <v>1253</v>
      </c>
      <c r="H8" s="675">
        <v>371</v>
      </c>
      <c r="I8" s="934">
        <f>SUM(G8:H8)</f>
        <v>1624</v>
      </c>
      <c r="J8" s="675">
        <v>9804</v>
      </c>
      <c r="K8" s="675">
        <v>3422</v>
      </c>
      <c r="L8" s="934">
        <f>SUM(J8:K8)</f>
        <v>13226</v>
      </c>
      <c r="M8" s="949">
        <v>553.29999999999995</v>
      </c>
      <c r="N8" s="758" t="s">
        <v>1384</v>
      </c>
      <c r="O8" s="934">
        <f>SUM(M8:N8)</f>
        <v>553.29999999999995</v>
      </c>
    </row>
    <row r="9" spans="2:15" ht="20.100000000000001" customHeight="1">
      <c r="B9" s="1847" t="s">
        <v>1357</v>
      </c>
      <c r="C9" s="1848"/>
      <c r="D9" s="675">
        <v>957.4</v>
      </c>
      <c r="E9" s="675">
        <v>44</v>
      </c>
      <c r="F9" s="934">
        <f>SUM(D9:E9)</f>
        <v>1001.4</v>
      </c>
      <c r="G9" s="675">
        <v>1388</v>
      </c>
      <c r="H9" s="675">
        <v>306</v>
      </c>
      <c r="I9" s="934">
        <f>SUM(G9:H9)</f>
        <v>1694</v>
      </c>
      <c r="J9" s="675">
        <v>10815</v>
      </c>
      <c r="K9" s="675">
        <v>2727</v>
      </c>
      <c r="L9" s="934">
        <f>SUM(J9:K9)</f>
        <v>13542</v>
      </c>
      <c r="M9" s="949">
        <v>553.29999999999995</v>
      </c>
      <c r="N9" s="758" t="s">
        <v>1384</v>
      </c>
      <c r="O9" s="934">
        <f>SUM(M9:N9)</f>
        <v>553.29999999999995</v>
      </c>
    </row>
    <row r="10" spans="2:15" ht="20.100000000000001" customHeight="1">
      <c r="B10" s="1847" t="s">
        <v>628</v>
      </c>
      <c r="C10" s="1848"/>
      <c r="D10" s="675" t="s">
        <v>918</v>
      </c>
      <c r="E10" s="675" t="s">
        <v>918</v>
      </c>
      <c r="F10" s="934" t="s">
        <v>918</v>
      </c>
      <c r="G10" s="675">
        <v>1551</v>
      </c>
      <c r="H10" s="675">
        <v>217</v>
      </c>
      <c r="I10" s="934">
        <f>SUM(G10:H10)</f>
        <v>1768</v>
      </c>
      <c r="J10" s="675">
        <v>10815</v>
      </c>
      <c r="K10" s="675">
        <v>2727</v>
      </c>
      <c r="L10" s="934">
        <f>SUM(J10:K10)</f>
        <v>13542</v>
      </c>
      <c r="M10" s="949">
        <v>711.82</v>
      </c>
      <c r="N10" s="758" t="s">
        <v>1384</v>
      </c>
      <c r="O10" s="934">
        <f>SUM(M10:N10)</f>
        <v>711.82</v>
      </c>
    </row>
    <row r="11" spans="2:15" ht="20.100000000000001" customHeight="1">
      <c r="B11" s="1849" t="s">
        <v>1639</v>
      </c>
      <c r="C11" s="1850"/>
      <c r="D11" s="937">
        <v>841</v>
      </c>
      <c r="E11" s="1706" t="s">
        <v>1384</v>
      </c>
      <c r="F11" s="733">
        <f>SUM(D11:E11)</f>
        <v>841</v>
      </c>
      <c r="G11" s="937">
        <v>1671.26</v>
      </c>
      <c r="H11" s="937">
        <v>179.87</v>
      </c>
      <c r="I11" s="733">
        <f>SUM(G11:H11)</f>
        <v>1851.13</v>
      </c>
      <c r="J11" s="937">
        <v>11249</v>
      </c>
      <c r="K11" s="937">
        <v>2376</v>
      </c>
      <c r="L11" s="733">
        <f>SUM(J11:K11)</f>
        <v>13625</v>
      </c>
      <c r="M11" s="1260">
        <v>764.27</v>
      </c>
      <c r="N11" s="775" t="s">
        <v>1384</v>
      </c>
      <c r="O11" s="938">
        <f>SUM(M11:N11)</f>
        <v>764.27</v>
      </c>
    </row>
    <row r="12" spans="2:15" ht="12.75" customHeight="1">
      <c r="B12" s="1467"/>
      <c r="C12" s="1467"/>
      <c r="D12" s="1414"/>
      <c r="E12" s="225"/>
      <c r="F12" s="225"/>
      <c r="L12" s="1063" t="s">
        <v>455</v>
      </c>
      <c r="M12" s="1792" t="s">
        <v>1742</v>
      </c>
      <c r="N12" s="1779"/>
      <c r="O12" s="1779"/>
    </row>
    <row r="13" spans="2:15">
      <c r="B13" s="1819"/>
      <c r="C13" s="1819"/>
      <c r="G13" s="1631"/>
      <c r="H13" s="1631"/>
      <c r="I13" s="1631"/>
      <c r="J13" s="1631"/>
      <c r="K13" s="1631"/>
      <c r="L13" s="1063" t="s">
        <v>462</v>
      </c>
      <c r="M13" s="1098" t="s">
        <v>1736</v>
      </c>
      <c r="N13" s="1098"/>
      <c r="O13" s="1098"/>
    </row>
    <row r="14" spans="2:15">
      <c r="B14" s="1"/>
      <c r="C14" s="1"/>
      <c r="D14" s="1"/>
      <c r="E14" s="1"/>
      <c r="F14" s="1"/>
      <c r="G14" s="340"/>
      <c r="H14" s="340"/>
      <c r="I14" s="340"/>
      <c r="J14" s="505"/>
      <c r="K14" s="505"/>
      <c r="L14" s="1063" t="s">
        <v>463</v>
      </c>
      <c r="M14" s="1105" t="s">
        <v>326</v>
      </c>
      <c r="N14" s="1041"/>
    </row>
    <row r="15" spans="2:15">
      <c r="B15" s="1789"/>
      <c r="C15" s="1789"/>
      <c r="D15" s="1789"/>
      <c r="E15" s="1789"/>
      <c r="F15" s="1789"/>
      <c r="G15" s="340"/>
      <c r="H15" s="340"/>
      <c r="I15" s="340"/>
      <c r="J15" s="505"/>
      <c r="K15" s="505"/>
      <c r="L15" s="1063"/>
      <c r="M15" s="1105"/>
      <c r="N15" s="1041"/>
    </row>
    <row r="16" spans="2:15">
      <c r="B16" s="1789"/>
      <c r="C16" s="1789"/>
      <c r="D16" s="1789"/>
      <c r="E16" s="1789"/>
      <c r="F16" s="1789"/>
      <c r="G16" s="340"/>
      <c r="H16" s="340"/>
      <c r="I16" s="340"/>
      <c r="J16" s="505"/>
      <c r="K16" s="505"/>
      <c r="L16" s="1063"/>
      <c r="M16" s="1105"/>
      <c r="N16" s="1041"/>
    </row>
    <row r="17" spans="3:16" ht="15.75" customHeight="1">
      <c r="C17" s="2142" t="s">
        <v>714</v>
      </c>
      <c r="D17" s="2142"/>
      <c r="E17" s="2142"/>
      <c r="F17" s="2142"/>
      <c r="G17" s="2142"/>
      <c r="H17" s="2142"/>
      <c r="I17" s="2142"/>
      <c r="J17" s="2142"/>
      <c r="K17" s="2142"/>
      <c r="L17" s="2142"/>
      <c r="M17" s="2142"/>
      <c r="N17" s="2142"/>
    </row>
    <row r="18" spans="3:16" ht="18" customHeight="1">
      <c r="C18" s="2334" t="s">
        <v>630</v>
      </c>
      <c r="D18" s="2334"/>
      <c r="E18" s="2334"/>
      <c r="F18" s="2334"/>
      <c r="G18" s="2334"/>
      <c r="H18" s="2334"/>
      <c r="I18" s="2334"/>
      <c r="J18" s="2334"/>
      <c r="K18" s="2334"/>
      <c r="L18" s="2334"/>
      <c r="M18" s="2334"/>
      <c r="N18" s="2334"/>
    </row>
    <row r="19" spans="3:16" ht="13.5" customHeight="1">
      <c r="I19" s="7"/>
      <c r="N19" s="226" t="s">
        <v>266</v>
      </c>
    </row>
    <row r="20" spans="3:16" ht="26.25" customHeight="1">
      <c r="C20" s="1866" t="s">
        <v>899</v>
      </c>
      <c r="D20" s="1906"/>
      <c r="E20" s="1866" t="s">
        <v>269</v>
      </c>
      <c r="F20" s="1906"/>
      <c r="G20" s="1866" t="s">
        <v>270</v>
      </c>
      <c r="H20" s="1906"/>
      <c r="I20" s="1866" t="s">
        <v>271</v>
      </c>
      <c r="J20" s="1906"/>
      <c r="K20" s="1866" t="s">
        <v>272</v>
      </c>
      <c r="L20" s="2046"/>
      <c r="M20" s="1866" t="s">
        <v>979</v>
      </c>
      <c r="N20" s="1906"/>
    </row>
    <row r="21" spans="3:16" ht="17.25" customHeight="1">
      <c r="C21" s="2094" t="s">
        <v>955</v>
      </c>
      <c r="D21" s="2099"/>
      <c r="E21" s="2094" t="s">
        <v>956</v>
      </c>
      <c r="F21" s="2099"/>
      <c r="G21" s="2094" t="s">
        <v>957</v>
      </c>
      <c r="H21" s="2099"/>
      <c r="I21" s="2094" t="s">
        <v>958</v>
      </c>
      <c r="J21" s="2099"/>
      <c r="K21" s="2094" t="s">
        <v>959</v>
      </c>
      <c r="L21" s="2095"/>
      <c r="M21" s="2094" t="s">
        <v>961</v>
      </c>
      <c r="N21" s="2099"/>
    </row>
    <row r="22" spans="3:16" ht="26.25" customHeight="1">
      <c r="C22" s="2123" t="s">
        <v>1356</v>
      </c>
      <c r="D22" s="2124"/>
      <c r="E22" s="2309" t="s">
        <v>918</v>
      </c>
      <c r="F22" s="2310"/>
      <c r="G22" s="2309" t="s">
        <v>918</v>
      </c>
      <c r="H22" s="2310"/>
      <c r="I22" s="2309" t="s">
        <v>918</v>
      </c>
      <c r="J22" s="2310"/>
      <c r="K22" s="2309" t="s">
        <v>918</v>
      </c>
      <c r="L22" s="2310"/>
      <c r="M22" s="2313">
        <v>2143</v>
      </c>
      <c r="N22" s="2314"/>
    </row>
    <row r="23" spans="3:16" ht="26.25" customHeight="1">
      <c r="C23" s="1847" t="s">
        <v>306</v>
      </c>
      <c r="D23" s="1848"/>
      <c r="E23" s="2307" t="s">
        <v>918</v>
      </c>
      <c r="F23" s="2308"/>
      <c r="G23" s="2307" t="s">
        <v>918</v>
      </c>
      <c r="H23" s="2308"/>
      <c r="I23" s="2307" t="s">
        <v>918</v>
      </c>
      <c r="J23" s="2308"/>
      <c r="K23" s="2307" t="s">
        <v>918</v>
      </c>
      <c r="L23" s="2308"/>
      <c r="M23" s="2311">
        <v>2146</v>
      </c>
      <c r="N23" s="2312"/>
    </row>
    <row r="24" spans="3:16" ht="26.25" customHeight="1">
      <c r="C24" s="1847" t="s">
        <v>1357</v>
      </c>
      <c r="D24" s="1848"/>
      <c r="E24" s="2324" t="s">
        <v>918</v>
      </c>
      <c r="F24" s="2325"/>
      <c r="G24" s="2329" t="s">
        <v>918</v>
      </c>
      <c r="H24" s="2330"/>
      <c r="I24" s="2220" t="s">
        <v>918</v>
      </c>
      <c r="J24" s="2221"/>
      <c r="K24" s="2332" t="s">
        <v>918</v>
      </c>
      <c r="L24" s="2333"/>
      <c r="M24" s="2311">
        <v>2292</v>
      </c>
      <c r="N24" s="2312"/>
    </row>
    <row r="25" spans="3:16" ht="26.25" customHeight="1">
      <c r="C25" s="1847" t="s">
        <v>628</v>
      </c>
      <c r="D25" s="1848"/>
      <c r="E25" s="2324" t="s">
        <v>918</v>
      </c>
      <c r="F25" s="2325"/>
      <c r="G25" s="2331" t="s">
        <v>918</v>
      </c>
      <c r="H25" s="2331"/>
      <c r="I25" s="2220" t="s">
        <v>918</v>
      </c>
      <c r="J25" s="2221"/>
      <c r="K25" s="2328" t="s">
        <v>918</v>
      </c>
      <c r="L25" s="2328"/>
      <c r="M25" s="2315" t="s">
        <v>918</v>
      </c>
      <c r="N25" s="2316"/>
    </row>
    <row r="26" spans="3:16" ht="26.25" customHeight="1">
      <c r="C26" s="1849" t="s">
        <v>1639</v>
      </c>
      <c r="D26" s="1850"/>
      <c r="E26" s="2326">
        <v>92</v>
      </c>
      <c r="F26" s="2327"/>
      <c r="G26" s="2322">
        <v>182</v>
      </c>
      <c r="H26" s="2322"/>
      <c r="I26" s="2222">
        <v>393</v>
      </c>
      <c r="J26" s="2223"/>
      <c r="K26" s="2322">
        <v>174</v>
      </c>
      <c r="L26" s="2322"/>
      <c r="M26" s="2305">
        <f>SUM(E26:K26)</f>
        <v>841</v>
      </c>
      <c r="N26" s="2306"/>
      <c r="O26" s="1035"/>
      <c r="P26" s="1035"/>
    </row>
    <row r="27" spans="3:16">
      <c r="K27" s="2278" t="s">
        <v>1743</v>
      </c>
      <c r="L27" s="2278"/>
      <c r="M27" s="2155"/>
      <c r="N27" s="2155"/>
    </row>
    <row r="31" spans="3:16">
      <c r="L31" s="1036"/>
      <c r="M31" s="1036"/>
      <c r="N31" s="1036"/>
    </row>
  </sheetData>
  <mergeCells count="60">
    <mergeCell ref="C17:N17"/>
    <mergeCell ref="C18:N18"/>
    <mergeCell ref="C21:D21"/>
    <mergeCell ref="C22:D22"/>
    <mergeCell ref="C24:D24"/>
    <mergeCell ref="K25:L25"/>
    <mergeCell ref="G24:H24"/>
    <mergeCell ref="G25:H25"/>
    <mergeCell ref="I20:J20"/>
    <mergeCell ref="I21:J21"/>
    <mergeCell ref="I22:J22"/>
    <mergeCell ref="I23:J23"/>
    <mergeCell ref="I24:J24"/>
    <mergeCell ref="K24:L24"/>
    <mergeCell ref="K20:L20"/>
    <mergeCell ref="I26:J26"/>
    <mergeCell ref="K26:L26"/>
    <mergeCell ref="K27:N27"/>
    <mergeCell ref="B2:O2"/>
    <mergeCell ref="E20:F20"/>
    <mergeCell ref="E25:F25"/>
    <mergeCell ref="E26:F26"/>
    <mergeCell ref="G20:H20"/>
    <mergeCell ref="G21:H21"/>
    <mergeCell ref="G22:H22"/>
    <mergeCell ref="G26:H26"/>
    <mergeCell ref="K21:L21"/>
    <mergeCell ref="E24:F24"/>
    <mergeCell ref="M20:N20"/>
    <mergeCell ref="C25:D25"/>
    <mergeCell ref="B13:C13"/>
    <mergeCell ref="B1:O1"/>
    <mergeCell ref="B10:C10"/>
    <mergeCell ref="B11:C11"/>
    <mergeCell ref="M3:O3"/>
    <mergeCell ref="B6:C6"/>
    <mergeCell ref="B7:C7"/>
    <mergeCell ref="B8:C8"/>
    <mergeCell ref="B9:C9"/>
    <mergeCell ref="B4:C5"/>
    <mergeCell ref="J4:L4"/>
    <mergeCell ref="G4:I4"/>
    <mergeCell ref="D4:F4"/>
    <mergeCell ref="M4:O4"/>
    <mergeCell ref="M26:N26"/>
    <mergeCell ref="G23:H23"/>
    <mergeCell ref="C23:D23"/>
    <mergeCell ref="C20:D20"/>
    <mergeCell ref="E21:F21"/>
    <mergeCell ref="E22:F22"/>
    <mergeCell ref="E23:F23"/>
    <mergeCell ref="M24:N24"/>
    <mergeCell ref="I25:J25"/>
    <mergeCell ref="M21:N21"/>
    <mergeCell ref="M22:N22"/>
    <mergeCell ref="M23:N23"/>
    <mergeCell ref="K22:L22"/>
    <mergeCell ref="C26:D26"/>
    <mergeCell ref="K23:L23"/>
    <mergeCell ref="M25:N25"/>
  </mergeCells>
  <phoneticPr fontId="0" type="noConversion"/>
  <conditionalFormatting sqref="N30:N65536 N25:N28 F25:F65536 H25:H65536 J25:J65536 D25:D65536 M30:M1048576 L25:L65536 H13:K13 D14:D21 Q14:Q1048576 C14:C65536 G13:G1048576 O14:O1048576 L13:L21 M1:O11 C1:C6 M12:M28 H13:H21 J13:J21 C10:C11 D7:O10 A1:B1048576 R13:IV1048576 Q1:IV12 E13:E1048576 F13:F21 I13:I1048576 K13:K1048576 P1:P1048576 D1:L12 N14:N21">
    <cfRule type="cellIs" dxfId="4" priority="1" stopIfTrue="1" operator="equal">
      <formula>".."</formula>
    </cfRule>
  </conditionalFormatting>
  <pageMargins left="0.1" right="0.1" top="0.7" bottom="0.1" header="0.7" footer="0.1"/>
  <pageSetup paperSize="9" orientation="landscape" blackAndWhite="1" r:id="rId1"/>
  <headerFooter alignWithMargins="0"/>
</worksheet>
</file>

<file path=xl/worksheets/sheet71.xml><?xml version="1.0" encoding="utf-8"?>
<worksheet xmlns="http://schemas.openxmlformats.org/spreadsheetml/2006/main" xmlns:r="http://schemas.openxmlformats.org/officeDocument/2006/relationships">
  <dimension ref="B1:O33"/>
  <sheetViews>
    <sheetView workbookViewId="0">
      <selection activeCell="A21" sqref="A21"/>
    </sheetView>
  </sheetViews>
  <sheetFormatPr defaultRowHeight="12.75"/>
  <cols>
    <col min="1" max="1" width="11.140625" customWidth="1"/>
    <col min="2" max="12" width="11.28515625" customWidth="1"/>
  </cols>
  <sheetData>
    <row r="1" spans="2:14" ht="14.25" customHeight="1">
      <c r="B1" s="2142" t="s">
        <v>713</v>
      </c>
      <c r="C1" s="2142"/>
      <c r="D1" s="2142"/>
      <c r="E1" s="2142"/>
      <c r="F1" s="2142"/>
      <c r="G1" s="2142"/>
      <c r="H1" s="2142"/>
      <c r="I1" s="2142"/>
      <c r="J1" s="2142"/>
      <c r="K1" s="2142"/>
      <c r="L1" s="2142"/>
    </row>
    <row r="2" spans="2:14" ht="16.5" customHeight="1">
      <c r="B2" s="2338" t="str">
        <f>CONCATENATE("Length of Roads maintained by Municipalities  in the district of ",District!$A$1)</f>
        <v>Length of Roads maintained by Municipalities  in the district of Purba Medinipur</v>
      </c>
      <c r="C2" s="2338"/>
      <c r="D2" s="2338"/>
      <c r="E2" s="2338"/>
      <c r="F2" s="2338"/>
      <c r="G2" s="2338"/>
      <c r="H2" s="2338"/>
      <c r="I2" s="2338"/>
      <c r="J2" s="2338"/>
      <c r="K2" s="2338"/>
      <c r="L2" s="2338"/>
    </row>
    <row r="3" spans="2:14" ht="12.75" customHeight="1">
      <c r="L3" s="226" t="s">
        <v>266</v>
      </c>
    </row>
    <row r="4" spans="2:14" ht="14.25" customHeight="1">
      <c r="B4" s="1866" t="s">
        <v>899</v>
      </c>
      <c r="C4" s="1906"/>
      <c r="D4" s="1866" t="s">
        <v>938</v>
      </c>
      <c r="E4" s="2046"/>
      <c r="F4" s="1906"/>
      <c r="G4" s="2046" t="s">
        <v>413</v>
      </c>
      <c r="H4" s="2046"/>
      <c r="I4" s="2046"/>
      <c r="J4" s="1866" t="s">
        <v>979</v>
      </c>
      <c r="K4" s="2046"/>
      <c r="L4" s="1906"/>
    </row>
    <row r="5" spans="2:14" ht="14.25" customHeight="1">
      <c r="B5" s="2094" t="s">
        <v>955</v>
      </c>
      <c r="C5" s="2099"/>
      <c r="D5" s="2094" t="s">
        <v>956</v>
      </c>
      <c r="E5" s="2095"/>
      <c r="F5" s="2099"/>
      <c r="G5" s="2095" t="s">
        <v>957</v>
      </c>
      <c r="H5" s="2095"/>
      <c r="I5" s="2095"/>
      <c r="J5" s="2094" t="s">
        <v>958</v>
      </c>
      <c r="K5" s="2095"/>
      <c r="L5" s="2099"/>
    </row>
    <row r="6" spans="2:14" ht="18" customHeight="1">
      <c r="B6" s="2123" t="s">
        <v>1356</v>
      </c>
      <c r="C6" s="2124"/>
      <c r="D6" s="2345">
        <v>1221.94</v>
      </c>
      <c r="E6" s="2346"/>
      <c r="F6" s="2347"/>
      <c r="G6" s="2345">
        <v>110.72</v>
      </c>
      <c r="H6" s="2346"/>
      <c r="I6" s="2347"/>
      <c r="J6" s="2342">
        <f>D6+G6</f>
        <v>1332.66</v>
      </c>
      <c r="K6" s="2343"/>
      <c r="L6" s="2344"/>
    </row>
    <row r="7" spans="2:14" ht="18" customHeight="1">
      <c r="B7" s="1847" t="s">
        <v>306</v>
      </c>
      <c r="C7" s="1848"/>
      <c r="D7" s="2339">
        <v>1268.69</v>
      </c>
      <c r="E7" s="2340"/>
      <c r="F7" s="2341"/>
      <c r="G7" s="2339">
        <v>110.11</v>
      </c>
      <c r="H7" s="2340"/>
      <c r="I7" s="2341"/>
      <c r="J7" s="2264">
        <f>D7+G7</f>
        <v>1378.8</v>
      </c>
      <c r="K7" s="2265"/>
      <c r="L7" s="2272"/>
    </row>
    <row r="8" spans="2:14" ht="18" customHeight="1">
      <c r="B8" s="1847" t="s">
        <v>1357</v>
      </c>
      <c r="C8" s="1848"/>
      <c r="D8" s="2339">
        <v>1343.36</v>
      </c>
      <c r="E8" s="2340"/>
      <c r="F8" s="2341"/>
      <c r="G8" s="2339">
        <v>105.09</v>
      </c>
      <c r="H8" s="2340"/>
      <c r="I8" s="2341"/>
      <c r="J8" s="2264">
        <f>D8+G8</f>
        <v>1448.4499999999998</v>
      </c>
      <c r="K8" s="2265"/>
      <c r="L8" s="2272"/>
    </row>
    <row r="9" spans="2:14" ht="18" customHeight="1">
      <c r="B9" s="1847" t="s">
        <v>628</v>
      </c>
      <c r="C9" s="1848"/>
      <c r="D9" s="2339">
        <v>1377.86</v>
      </c>
      <c r="E9" s="2340"/>
      <c r="F9" s="2341"/>
      <c r="G9" s="2339">
        <v>84.59</v>
      </c>
      <c r="H9" s="2340"/>
      <c r="I9" s="2341"/>
      <c r="J9" s="2264">
        <f>D9+G9</f>
        <v>1462.4499999999998</v>
      </c>
      <c r="K9" s="2265"/>
      <c r="L9" s="2272"/>
    </row>
    <row r="10" spans="2:14" ht="18" customHeight="1">
      <c r="B10" s="1847" t="s">
        <v>1639</v>
      </c>
      <c r="C10" s="1848"/>
      <c r="D10" s="2339">
        <f>SUM(D12:D16)</f>
        <v>1406.6599999999999</v>
      </c>
      <c r="E10" s="2340"/>
      <c r="F10" s="2341"/>
      <c r="G10" s="2339">
        <f>SUM(G12:G16)</f>
        <v>72.09</v>
      </c>
      <c r="H10" s="2340"/>
      <c r="I10" s="2340"/>
      <c r="J10" s="2335">
        <f>D10+G10</f>
        <v>1478.7499999999998</v>
      </c>
      <c r="K10" s="2336"/>
      <c r="L10" s="2337"/>
    </row>
    <row r="11" spans="2:14" ht="16.5" customHeight="1">
      <c r="B11" s="1829" t="s">
        <v>1588</v>
      </c>
      <c r="C11" s="1828"/>
      <c r="D11" s="2360" t="str">
        <f>"Year : "  &amp; B10</f>
        <v>Year : 2013-14</v>
      </c>
      <c r="E11" s="2361"/>
      <c r="F11" s="2361"/>
      <c r="G11" s="2361"/>
      <c r="H11" s="2361"/>
      <c r="I11" s="2361"/>
      <c r="J11" s="2362"/>
      <c r="K11" s="2362"/>
      <c r="L11" s="2363"/>
    </row>
    <row r="12" spans="2:14" ht="21" customHeight="1">
      <c r="B12" s="2350" t="s">
        <v>200</v>
      </c>
      <c r="C12" s="2351"/>
      <c r="D12" s="2357">
        <v>165.66</v>
      </c>
      <c r="E12" s="2358"/>
      <c r="F12" s="2359"/>
      <c r="G12" s="2348">
        <v>44.59</v>
      </c>
      <c r="H12" s="2348"/>
      <c r="I12" s="2348"/>
      <c r="J12" s="2342">
        <f>SUM(D12:I12)</f>
        <v>210.25</v>
      </c>
      <c r="K12" s="2343"/>
      <c r="L12" s="2344"/>
    </row>
    <row r="13" spans="2:14" ht="21" customHeight="1">
      <c r="B13" s="2350" t="s">
        <v>1387</v>
      </c>
      <c r="C13" s="2351"/>
      <c r="D13" s="2352">
        <v>250</v>
      </c>
      <c r="E13" s="2348"/>
      <c r="F13" s="2353"/>
      <c r="G13" s="2348">
        <v>10</v>
      </c>
      <c r="H13" s="2348"/>
      <c r="I13" s="2348"/>
      <c r="J13" s="2264">
        <f>SUM(D13:I13)</f>
        <v>260</v>
      </c>
      <c r="K13" s="2265"/>
      <c r="L13" s="2272"/>
    </row>
    <row r="14" spans="2:14" ht="21" customHeight="1">
      <c r="B14" s="2350" t="s">
        <v>1399</v>
      </c>
      <c r="C14" s="2351"/>
      <c r="D14" s="2352">
        <v>606</v>
      </c>
      <c r="E14" s="2348"/>
      <c r="F14" s="2353"/>
      <c r="G14" s="2348" t="s">
        <v>1384</v>
      </c>
      <c r="H14" s="2348"/>
      <c r="I14" s="2348"/>
      <c r="J14" s="2264">
        <f>SUM(D14:I14)</f>
        <v>606</v>
      </c>
      <c r="K14" s="2265"/>
      <c r="L14" s="2272"/>
    </row>
    <row r="15" spans="2:14" ht="21" customHeight="1">
      <c r="B15" s="2350" t="s">
        <v>1416</v>
      </c>
      <c r="C15" s="2351"/>
      <c r="D15" s="2352">
        <v>243</v>
      </c>
      <c r="E15" s="2348"/>
      <c r="F15" s="2353"/>
      <c r="G15" s="2348">
        <v>10</v>
      </c>
      <c r="H15" s="2348"/>
      <c r="I15" s="2348"/>
      <c r="J15" s="2264">
        <f>SUM(D15:I15)</f>
        <v>253</v>
      </c>
      <c r="K15" s="2265"/>
      <c r="L15" s="2272"/>
    </row>
    <row r="16" spans="2:14" ht="21" customHeight="1">
      <c r="B16" s="2355" t="s">
        <v>1403</v>
      </c>
      <c r="C16" s="2356"/>
      <c r="D16" s="2335">
        <v>142</v>
      </c>
      <c r="E16" s="2336"/>
      <c r="F16" s="2337"/>
      <c r="G16" s="2349">
        <v>7.5</v>
      </c>
      <c r="H16" s="2349"/>
      <c r="I16" s="2349"/>
      <c r="J16" s="2335">
        <f>SUM(D16:I16)</f>
        <v>149.5</v>
      </c>
      <c r="K16" s="2336"/>
      <c r="L16" s="2337"/>
      <c r="N16" s="20"/>
    </row>
    <row r="17" spans="2:15">
      <c r="C17" s="263"/>
      <c r="D17" s="263"/>
      <c r="L17" s="1063" t="s">
        <v>465</v>
      </c>
    </row>
    <row r="18" spans="2:15">
      <c r="C18" s="263"/>
      <c r="D18" s="263"/>
      <c r="L18" s="1063"/>
    </row>
    <row r="19" spans="2:15">
      <c r="C19" s="263"/>
      <c r="D19" s="263"/>
      <c r="L19" s="1063"/>
    </row>
    <row r="20" spans="2:15">
      <c r="B20" s="1893" t="s">
        <v>712</v>
      </c>
      <c r="C20" s="1893"/>
      <c r="D20" s="1893"/>
      <c r="E20" s="1893"/>
      <c r="F20" s="1893"/>
      <c r="G20" s="1893"/>
      <c r="H20" s="1893"/>
      <c r="I20" s="1893"/>
      <c r="J20" s="1893"/>
      <c r="K20" s="1893"/>
      <c r="L20" s="1893"/>
    </row>
    <row r="21" spans="2:15" ht="18.75" customHeight="1">
      <c r="B21" s="2354" t="str">
        <f>CONCATENATE("  Registered Motor Vehicles  in the district of ",District!$A$1)</f>
        <v xml:space="preserve">  Registered Motor Vehicles  in the district of Purba Medinipur</v>
      </c>
      <c r="C21" s="2354"/>
      <c r="D21" s="2354"/>
      <c r="E21" s="2354"/>
      <c r="F21" s="2354"/>
      <c r="G21" s="2354"/>
      <c r="H21" s="2354"/>
      <c r="I21" s="2354"/>
      <c r="J21" s="2354"/>
      <c r="K21" s="2354"/>
      <c r="L21" s="2354"/>
    </row>
    <row r="22" spans="2:15" ht="15.75" customHeight="1">
      <c r="B22" s="1253"/>
      <c r="C22" s="1253"/>
      <c r="D22" s="1253"/>
      <c r="E22" s="1253"/>
      <c r="F22" s="1253"/>
      <c r="G22" s="1253"/>
      <c r="H22" s="1253"/>
      <c r="I22" s="1253"/>
      <c r="J22" s="1253"/>
      <c r="K22" s="1253"/>
      <c r="L22" s="485" t="s">
        <v>1001</v>
      </c>
    </row>
    <row r="23" spans="2:15" ht="39.75" customHeight="1">
      <c r="B23" s="356" t="s">
        <v>273</v>
      </c>
      <c r="C23" s="357" t="s">
        <v>286</v>
      </c>
      <c r="D23" s="356" t="s">
        <v>1474</v>
      </c>
      <c r="E23" s="357" t="s">
        <v>287</v>
      </c>
      <c r="F23" s="189" t="s">
        <v>288</v>
      </c>
      <c r="G23" s="357" t="s">
        <v>1581</v>
      </c>
      <c r="H23" s="356" t="s">
        <v>1582</v>
      </c>
      <c r="I23" s="357" t="s">
        <v>362</v>
      </c>
      <c r="J23" s="356" t="s">
        <v>285</v>
      </c>
      <c r="K23" s="687" t="s">
        <v>1128</v>
      </c>
      <c r="L23" s="687" t="s">
        <v>979</v>
      </c>
    </row>
    <row r="24" spans="2:15" ht="16.5" customHeight="1">
      <c r="B24" s="134" t="s">
        <v>955</v>
      </c>
      <c r="C24" s="135" t="s">
        <v>956</v>
      </c>
      <c r="D24" s="134" t="s">
        <v>957</v>
      </c>
      <c r="E24" s="135" t="s">
        <v>958</v>
      </c>
      <c r="F24" s="134" t="s">
        <v>959</v>
      </c>
      <c r="G24" s="135" t="s">
        <v>961</v>
      </c>
      <c r="H24" s="134" t="s">
        <v>962</v>
      </c>
      <c r="I24" s="135" t="s">
        <v>990</v>
      </c>
      <c r="J24" s="134" t="s">
        <v>991</v>
      </c>
      <c r="K24" s="136" t="s">
        <v>992</v>
      </c>
      <c r="L24" s="136" t="s">
        <v>993</v>
      </c>
      <c r="O24" s="20"/>
    </row>
    <row r="25" spans="2:15" ht="21" customHeight="1">
      <c r="B25" s="277">
        <v>2010</v>
      </c>
      <c r="C25" s="454">
        <v>6573</v>
      </c>
      <c r="D25" s="445">
        <v>2380</v>
      </c>
      <c r="E25" s="454">
        <v>76132</v>
      </c>
      <c r="F25" s="445">
        <v>1517</v>
      </c>
      <c r="G25" s="460" t="s">
        <v>918</v>
      </c>
      <c r="H25" s="445">
        <v>159</v>
      </c>
      <c r="I25" s="454">
        <v>1143</v>
      </c>
      <c r="J25" s="445">
        <v>615</v>
      </c>
      <c r="K25" s="447">
        <v>1114</v>
      </c>
      <c r="L25" s="735">
        <f>SUM(C25:K25)</f>
        <v>89633</v>
      </c>
    </row>
    <row r="26" spans="2:15" ht="21" customHeight="1">
      <c r="B26" s="1568">
        <v>2011</v>
      </c>
      <c r="C26" s="454">
        <v>6987</v>
      </c>
      <c r="D26" s="445">
        <v>2653</v>
      </c>
      <c r="E26" s="454">
        <v>81212</v>
      </c>
      <c r="F26" s="445">
        <v>1532</v>
      </c>
      <c r="G26" s="460" t="s">
        <v>918</v>
      </c>
      <c r="H26" s="445">
        <v>323</v>
      </c>
      <c r="I26" s="454">
        <v>1164</v>
      </c>
      <c r="J26" s="445">
        <v>721</v>
      </c>
      <c r="K26" s="447">
        <v>1141</v>
      </c>
      <c r="L26" s="736">
        <f>SUM(C26:K26)</f>
        <v>95733</v>
      </c>
    </row>
    <row r="27" spans="2:15" ht="21" customHeight="1">
      <c r="B27" s="1568">
        <v>2012</v>
      </c>
      <c r="C27" s="454">
        <v>8641</v>
      </c>
      <c r="D27" s="445">
        <v>4546</v>
      </c>
      <c r="E27" s="454">
        <v>104714</v>
      </c>
      <c r="F27" s="445">
        <v>1577</v>
      </c>
      <c r="G27" s="460" t="s">
        <v>918</v>
      </c>
      <c r="H27" s="445">
        <v>327</v>
      </c>
      <c r="I27" s="454">
        <v>1314</v>
      </c>
      <c r="J27" s="445">
        <v>882</v>
      </c>
      <c r="K27" s="447">
        <v>1229</v>
      </c>
      <c r="L27" s="736">
        <f>SUM(C27:K27)</f>
        <v>123230</v>
      </c>
    </row>
    <row r="28" spans="2:15" ht="21" customHeight="1">
      <c r="B28" s="1568">
        <v>2013</v>
      </c>
      <c r="C28" s="454">
        <v>10315</v>
      </c>
      <c r="D28" s="445">
        <v>6329</v>
      </c>
      <c r="E28" s="454">
        <v>131610</v>
      </c>
      <c r="F28" s="445">
        <v>1956</v>
      </c>
      <c r="G28" s="460" t="s">
        <v>918</v>
      </c>
      <c r="H28" s="445">
        <v>332</v>
      </c>
      <c r="I28" s="454">
        <v>2083</v>
      </c>
      <c r="J28" s="445">
        <v>1078</v>
      </c>
      <c r="K28" s="447">
        <v>1334</v>
      </c>
      <c r="L28" s="736">
        <f>SUM(C28:K28)</f>
        <v>155037</v>
      </c>
    </row>
    <row r="29" spans="2:15" ht="21" customHeight="1">
      <c r="B29" s="283">
        <v>2014</v>
      </c>
      <c r="C29" s="723">
        <v>11842</v>
      </c>
      <c r="D29" s="449">
        <v>8259</v>
      </c>
      <c r="E29" s="723">
        <v>159548</v>
      </c>
      <c r="F29" s="449">
        <v>2092</v>
      </c>
      <c r="G29" s="916" t="s">
        <v>918</v>
      </c>
      <c r="H29" s="449">
        <v>333</v>
      </c>
      <c r="I29" s="723">
        <v>2851</v>
      </c>
      <c r="J29" s="449">
        <v>1271</v>
      </c>
      <c r="K29" s="451">
        <v>1437</v>
      </c>
      <c r="L29" s="737">
        <f>SUM(C29:K29)</f>
        <v>187633</v>
      </c>
      <c r="N29" s="20"/>
    </row>
    <row r="30" spans="2:15" ht="12.75" customHeight="1">
      <c r="B30" s="558"/>
      <c r="C30" s="66"/>
      <c r="D30" s="66"/>
      <c r="E30" s="67"/>
      <c r="F30" s="67"/>
      <c r="G30" s="67"/>
      <c r="H30" s="67"/>
      <c r="I30" s="1261" t="s">
        <v>455</v>
      </c>
      <c r="J30" s="1118" t="s">
        <v>303</v>
      </c>
      <c r="K30" s="202"/>
      <c r="L30" s="202"/>
    </row>
    <row r="31" spans="2:15">
      <c r="B31" t="s">
        <v>157</v>
      </c>
      <c r="I31" s="1261" t="s">
        <v>456</v>
      </c>
      <c r="J31" s="1262" t="s">
        <v>464</v>
      </c>
      <c r="K31" s="202"/>
      <c r="L31" s="202"/>
    </row>
    <row r="32" spans="2:15">
      <c r="B32" s="1557"/>
      <c r="C32" s="1557"/>
      <c r="D32" s="1557"/>
      <c r="E32" s="1557"/>
      <c r="F32" s="1557"/>
      <c r="G32" s="1557"/>
      <c r="H32" s="1557"/>
      <c r="I32" s="1557"/>
      <c r="J32" s="1557"/>
      <c r="K32" s="1557"/>
      <c r="L32" s="1557"/>
    </row>
    <row r="33" spans="2:12">
      <c r="B33" s="1557"/>
      <c r="C33" s="1557"/>
      <c r="D33" s="1557"/>
      <c r="E33" s="1557"/>
      <c r="F33" s="1557"/>
      <c r="G33" s="1557"/>
      <c r="H33" s="1557"/>
      <c r="I33" s="1557"/>
      <c r="J33" s="1557"/>
      <c r="K33" s="1557"/>
      <c r="L33" s="1557"/>
    </row>
  </sheetData>
  <mergeCells count="54">
    <mergeCell ref="B20:L20"/>
    <mergeCell ref="B21:L21"/>
    <mergeCell ref="B11:C11"/>
    <mergeCell ref="B12:C12"/>
    <mergeCell ref="B13:C13"/>
    <mergeCell ref="B14:C14"/>
    <mergeCell ref="B16:C16"/>
    <mergeCell ref="D12:F12"/>
    <mergeCell ref="D13:F13"/>
    <mergeCell ref="D15:F15"/>
    <mergeCell ref="D16:F16"/>
    <mergeCell ref="D11:L11"/>
    <mergeCell ref="G12:I12"/>
    <mergeCell ref="G13:I13"/>
    <mergeCell ref="G5:I5"/>
    <mergeCell ref="B1:L1"/>
    <mergeCell ref="G15:I15"/>
    <mergeCell ref="G16:I16"/>
    <mergeCell ref="J12:L12"/>
    <mergeCell ref="J13:L13"/>
    <mergeCell ref="J14:L14"/>
    <mergeCell ref="J15:L15"/>
    <mergeCell ref="J16:L16"/>
    <mergeCell ref="B5:C5"/>
    <mergeCell ref="B6:C6"/>
    <mergeCell ref="B7:C7"/>
    <mergeCell ref="B15:C15"/>
    <mergeCell ref="G14:I14"/>
    <mergeCell ref="D14:F14"/>
    <mergeCell ref="B8:C8"/>
    <mergeCell ref="B10:C10"/>
    <mergeCell ref="D8:F8"/>
    <mergeCell ref="D9:F9"/>
    <mergeCell ref="G6:I6"/>
    <mergeCell ref="G7:I7"/>
    <mergeCell ref="D10:F10"/>
    <mergeCell ref="G10:I10"/>
    <mergeCell ref="B9:C9"/>
    <mergeCell ref="J10:L10"/>
    <mergeCell ref="B2:L2"/>
    <mergeCell ref="G8:I8"/>
    <mergeCell ref="G9:I9"/>
    <mergeCell ref="J4:L4"/>
    <mergeCell ref="J5:L5"/>
    <mergeCell ref="J6:L6"/>
    <mergeCell ref="J7:L7"/>
    <mergeCell ref="B4:C4"/>
    <mergeCell ref="J8:L8"/>
    <mergeCell ref="J9:L9"/>
    <mergeCell ref="D4:F4"/>
    <mergeCell ref="D5:F5"/>
    <mergeCell ref="D6:F6"/>
    <mergeCell ref="D7:F7"/>
    <mergeCell ref="G4:I4"/>
  </mergeCells>
  <phoneticPr fontId="0" type="noConversion"/>
  <pageMargins left="0.1" right="0.1" top="0.28000000000000003" bottom="0.1" header="0.63" footer="0.1"/>
  <pageSetup paperSize="9" orientation="landscape" blackAndWhite="1" r:id="rId1"/>
  <headerFooter alignWithMargins="0"/>
</worksheet>
</file>

<file path=xl/worksheets/sheet72.xml><?xml version="1.0" encoding="utf-8"?>
<worksheet xmlns="http://schemas.openxmlformats.org/spreadsheetml/2006/main" xmlns:r="http://schemas.openxmlformats.org/officeDocument/2006/relationships">
  <dimension ref="A1:H42"/>
  <sheetViews>
    <sheetView workbookViewId="0">
      <selection activeCell="K9" sqref="K9"/>
    </sheetView>
  </sheetViews>
  <sheetFormatPr defaultRowHeight="12.75"/>
  <cols>
    <col min="1" max="1" width="2.42578125" customWidth="1"/>
    <col min="2" max="2" width="17.5703125" customWidth="1"/>
    <col min="3" max="3" width="11" customWidth="1"/>
    <col min="4" max="4" width="11.85546875" customWidth="1"/>
    <col min="5" max="5" width="10.5703125" customWidth="1"/>
    <col min="6" max="6" width="13.42578125" customWidth="1"/>
    <col min="7" max="7" width="13.140625" customWidth="1"/>
    <col min="8" max="8" width="11.85546875" customWidth="1"/>
  </cols>
  <sheetData>
    <row r="1" spans="2:8" ht="15" customHeight="1">
      <c r="B1" s="2142" t="s">
        <v>867</v>
      </c>
      <c r="C1" s="2142"/>
      <c r="D1" s="2142"/>
      <c r="E1" s="2142"/>
      <c r="F1" s="2142"/>
      <c r="G1" s="2142"/>
      <c r="H1" s="2142"/>
    </row>
    <row r="2" spans="2:8" ht="19.5" customHeight="1">
      <c r="B2" s="2367" t="str">
        <f>CONCATENATE("Accidents on Roads in the district of ",District!$A$1)</f>
        <v>Accidents on Roads in the district of Purba Medinipur</v>
      </c>
      <c r="C2" s="2367"/>
      <c r="D2" s="2367"/>
      <c r="E2" s="2367"/>
      <c r="F2" s="2367"/>
      <c r="G2" s="2367"/>
      <c r="H2" s="2367"/>
    </row>
    <row r="3" spans="2:8" ht="18" customHeight="1">
      <c r="B3" s="164" t="s">
        <v>899</v>
      </c>
      <c r="C3" s="1866" t="s">
        <v>1285</v>
      </c>
      <c r="D3" s="1906"/>
      <c r="E3" s="1866" t="s">
        <v>363</v>
      </c>
      <c r="F3" s="1906"/>
      <c r="G3" s="1866" t="s">
        <v>786</v>
      </c>
      <c r="H3" s="1906"/>
    </row>
    <row r="4" spans="2:8" ht="18" customHeight="1">
      <c r="B4" s="137" t="s">
        <v>955</v>
      </c>
      <c r="C4" s="2094" t="s">
        <v>956</v>
      </c>
      <c r="D4" s="2099"/>
      <c r="E4" s="2094" t="s">
        <v>957</v>
      </c>
      <c r="F4" s="2099"/>
      <c r="G4" s="2094" t="s">
        <v>958</v>
      </c>
      <c r="H4" s="2099"/>
    </row>
    <row r="5" spans="2:8" ht="21" customHeight="1">
      <c r="B5" s="1559">
        <v>2010</v>
      </c>
      <c r="C5" s="2147">
        <v>654</v>
      </c>
      <c r="D5" s="2148"/>
      <c r="E5" s="2147">
        <v>754</v>
      </c>
      <c r="F5" s="2148"/>
      <c r="G5" s="2147">
        <v>281</v>
      </c>
      <c r="H5" s="2148"/>
    </row>
    <row r="6" spans="2:8" ht="21" customHeight="1">
      <c r="B6" s="1559">
        <v>2011</v>
      </c>
      <c r="C6" s="2250">
        <v>645</v>
      </c>
      <c r="D6" s="1862"/>
      <c r="E6" s="2250">
        <v>798</v>
      </c>
      <c r="F6" s="1862"/>
      <c r="G6" s="2250">
        <v>255</v>
      </c>
      <c r="H6" s="1862"/>
    </row>
    <row r="7" spans="2:8" ht="21" customHeight="1">
      <c r="B7" s="1559">
        <v>2012</v>
      </c>
      <c r="C7" s="2250">
        <v>729</v>
      </c>
      <c r="D7" s="1862"/>
      <c r="E7" s="2250">
        <v>979</v>
      </c>
      <c r="F7" s="1862"/>
      <c r="G7" s="2250">
        <v>297</v>
      </c>
      <c r="H7" s="1862"/>
    </row>
    <row r="8" spans="2:8" ht="21" customHeight="1">
      <c r="B8" s="1559">
        <v>2013</v>
      </c>
      <c r="C8" s="2250">
        <v>788</v>
      </c>
      <c r="D8" s="1862"/>
      <c r="E8" s="2250">
        <v>823</v>
      </c>
      <c r="F8" s="1862"/>
      <c r="G8" s="2250">
        <v>353</v>
      </c>
      <c r="H8" s="1862"/>
    </row>
    <row r="9" spans="2:8" ht="21" customHeight="1">
      <c r="B9" s="677">
        <v>2014</v>
      </c>
      <c r="C9" s="2253">
        <v>801</v>
      </c>
      <c r="D9" s="2254"/>
      <c r="E9" s="2253">
        <v>594</v>
      </c>
      <c r="F9" s="2254"/>
      <c r="G9" s="2253">
        <v>371</v>
      </c>
      <c r="H9" s="2254"/>
    </row>
    <row r="10" spans="2:8" ht="15" customHeight="1">
      <c r="B10" s="576"/>
      <c r="C10" s="83"/>
      <c r="D10" s="8"/>
      <c r="E10" s="8"/>
      <c r="H10" s="1063" t="s">
        <v>483</v>
      </c>
    </row>
    <row r="11" spans="2:8">
      <c r="B11" s="2"/>
      <c r="C11" s="2"/>
      <c r="E11" s="282"/>
    </row>
    <row r="12" spans="2:8">
      <c r="B12" s="1791"/>
      <c r="C12" s="1791"/>
      <c r="E12" s="282"/>
    </row>
    <row r="13" spans="2:8">
      <c r="B13" s="2"/>
      <c r="C13" s="2"/>
      <c r="E13" s="282"/>
    </row>
    <row r="14" spans="2:8">
      <c r="B14" s="506"/>
      <c r="C14" s="506"/>
      <c r="E14" s="282"/>
    </row>
    <row r="15" spans="2:8" ht="15" customHeight="1">
      <c r="B15" s="1825" t="s">
        <v>711</v>
      </c>
      <c r="C15" s="1825"/>
      <c r="D15" s="1825"/>
      <c r="E15" s="1825"/>
      <c r="F15" s="1825"/>
      <c r="G15" s="1825"/>
      <c r="H15" s="1825"/>
    </row>
    <row r="16" spans="2:8" ht="18.75" customHeight="1">
      <c r="B16" s="2354" t="s">
        <v>549</v>
      </c>
      <c r="C16" s="2354"/>
      <c r="D16" s="2354"/>
      <c r="E16" s="2354"/>
      <c r="F16" s="2354"/>
      <c r="G16" s="2354"/>
      <c r="H16" s="2354"/>
    </row>
    <row r="17" spans="2:8" ht="13.5" customHeight="1">
      <c r="C17" s="406"/>
      <c r="D17" s="406"/>
      <c r="E17" s="406"/>
      <c r="H17" s="226" t="s">
        <v>1405</v>
      </c>
    </row>
    <row r="18" spans="2:8" ht="39" customHeight="1">
      <c r="B18" s="1790" t="s">
        <v>1735</v>
      </c>
      <c r="C18" s="1929" t="s">
        <v>508</v>
      </c>
      <c r="D18" s="1931"/>
      <c r="E18" s="1929" t="s">
        <v>509</v>
      </c>
      <c r="F18" s="1931"/>
      <c r="G18" s="1930" t="s">
        <v>510</v>
      </c>
      <c r="H18" s="1931"/>
    </row>
    <row r="19" spans="2:8" ht="15.75" customHeight="1">
      <c r="B19" s="134" t="s">
        <v>955</v>
      </c>
      <c r="C19" s="2121" t="s">
        <v>956</v>
      </c>
      <c r="D19" s="2122"/>
      <c r="E19" s="2121" t="s">
        <v>957</v>
      </c>
      <c r="F19" s="2122"/>
      <c r="G19" s="2126" t="s">
        <v>958</v>
      </c>
      <c r="H19" s="2122"/>
    </row>
    <row r="20" spans="2:8" ht="21" customHeight="1">
      <c r="B20" s="1559">
        <v>2010</v>
      </c>
      <c r="C20" s="2147">
        <v>831</v>
      </c>
      <c r="D20" s="2148"/>
      <c r="E20" s="2147">
        <v>1</v>
      </c>
      <c r="F20" s="2148"/>
      <c r="G20" s="2147">
        <v>45</v>
      </c>
      <c r="H20" s="2148"/>
    </row>
    <row r="21" spans="2:8" ht="21" customHeight="1">
      <c r="B21" s="1559">
        <v>2011</v>
      </c>
      <c r="C21" s="2250">
        <v>832</v>
      </c>
      <c r="D21" s="1862"/>
      <c r="E21" s="2250" t="s">
        <v>1384</v>
      </c>
      <c r="F21" s="1862"/>
      <c r="G21" s="2250" t="s">
        <v>1384</v>
      </c>
      <c r="H21" s="1862"/>
    </row>
    <row r="22" spans="2:8" ht="21" customHeight="1">
      <c r="B22" s="1559">
        <v>2012</v>
      </c>
      <c r="C22" s="2250">
        <v>832</v>
      </c>
      <c r="D22" s="1862"/>
      <c r="E22" s="2250" t="s">
        <v>1384</v>
      </c>
      <c r="F22" s="1862"/>
      <c r="G22" s="2250" t="s">
        <v>1384</v>
      </c>
      <c r="H22" s="1862"/>
    </row>
    <row r="23" spans="2:8" ht="21" customHeight="1">
      <c r="B23" s="1559">
        <v>2013</v>
      </c>
      <c r="C23" s="2250" t="s">
        <v>559</v>
      </c>
      <c r="D23" s="1862"/>
      <c r="E23" s="2250" t="s">
        <v>1384</v>
      </c>
      <c r="F23" s="1862"/>
      <c r="G23" s="2251" t="s">
        <v>1384</v>
      </c>
      <c r="H23" s="1862"/>
    </row>
    <row r="24" spans="2:8" ht="21" customHeight="1">
      <c r="B24" s="677">
        <v>2014</v>
      </c>
      <c r="C24" s="2253" t="s">
        <v>559</v>
      </c>
      <c r="D24" s="2254"/>
      <c r="E24" s="2253" t="s">
        <v>1384</v>
      </c>
      <c r="F24" s="2254"/>
      <c r="G24" s="2304" t="s">
        <v>1384</v>
      </c>
      <c r="H24" s="2254"/>
    </row>
    <row r="25" spans="2:8" ht="13.5" customHeight="1">
      <c r="B25" s="1098"/>
      <c r="C25" s="83"/>
      <c r="H25" s="1107" t="s">
        <v>364</v>
      </c>
    </row>
    <row r="26" spans="2:8" ht="13.5" customHeight="1">
      <c r="C26" s="2"/>
      <c r="E26" s="319"/>
    </row>
    <row r="27" spans="2:8" ht="13.5" customHeight="1">
      <c r="C27" s="1791"/>
      <c r="E27" s="319"/>
    </row>
    <row r="28" spans="2:8" ht="13.5" customHeight="1">
      <c r="C28" s="2"/>
      <c r="E28" s="319"/>
    </row>
    <row r="29" spans="2:8" ht="15" customHeight="1">
      <c r="B29" s="504"/>
      <c r="C29" s="504"/>
      <c r="E29" s="319"/>
    </row>
    <row r="30" spans="2:8" ht="15" customHeight="1">
      <c r="B30" s="2142" t="s">
        <v>868</v>
      </c>
      <c r="C30" s="2142"/>
      <c r="D30" s="2142"/>
      <c r="E30" s="2142"/>
      <c r="F30" s="2142"/>
      <c r="G30" s="2142"/>
      <c r="H30" s="2142"/>
    </row>
    <row r="31" spans="2:8" ht="18" customHeight="1">
      <c r="B31" s="2323" t="str">
        <f>CONCATENATE("Progress in Tourism in the district of ",District!$A$1)</f>
        <v>Progress in Tourism in the district of Purba Medinipur</v>
      </c>
      <c r="C31" s="2323"/>
      <c r="D31" s="2323"/>
      <c r="E31" s="2323"/>
      <c r="F31" s="2323"/>
      <c r="G31" s="2323"/>
      <c r="H31" s="2323"/>
    </row>
    <row r="32" spans="2:8" ht="53.25" customHeight="1">
      <c r="B32" s="160" t="s">
        <v>899</v>
      </c>
      <c r="C32" s="404" t="s">
        <v>381</v>
      </c>
      <c r="D32" s="356" t="s">
        <v>382</v>
      </c>
      <c r="E32" s="1511" t="s">
        <v>384</v>
      </c>
      <c r="F32" s="357" t="s">
        <v>385</v>
      </c>
      <c r="G32" s="356" t="s">
        <v>383</v>
      </c>
      <c r="H32" s="356" t="s">
        <v>380</v>
      </c>
    </row>
    <row r="33" spans="1:8" ht="18" customHeight="1">
      <c r="B33" s="137" t="s">
        <v>955</v>
      </c>
      <c r="C33" s="137" t="s">
        <v>956</v>
      </c>
      <c r="D33" s="134" t="s">
        <v>957</v>
      </c>
      <c r="E33" s="134" t="s">
        <v>958</v>
      </c>
      <c r="F33" s="1516" t="s">
        <v>959</v>
      </c>
      <c r="G33" s="134" t="s">
        <v>961</v>
      </c>
      <c r="H33" s="134" t="s">
        <v>962</v>
      </c>
    </row>
    <row r="34" spans="1:8" ht="21" customHeight="1">
      <c r="B34" s="1562" t="s">
        <v>1356</v>
      </c>
      <c r="C34" s="1563">
        <v>365</v>
      </c>
      <c r="D34" s="1560">
        <v>1100</v>
      </c>
      <c r="E34" s="1560">
        <v>66000</v>
      </c>
      <c r="F34" s="1565">
        <v>7</v>
      </c>
      <c r="G34" s="1560">
        <v>210000</v>
      </c>
      <c r="H34" s="1179">
        <v>14800</v>
      </c>
    </row>
    <row r="35" spans="1:8" ht="21" customHeight="1">
      <c r="B35" s="1559" t="s">
        <v>306</v>
      </c>
      <c r="C35" s="1563">
        <v>370</v>
      </c>
      <c r="D35" s="1560">
        <v>1130</v>
      </c>
      <c r="E35" s="1560">
        <v>67800</v>
      </c>
      <c r="F35" s="1565">
        <v>7</v>
      </c>
      <c r="G35" s="1560">
        <v>200000</v>
      </c>
      <c r="H35" s="448">
        <v>15201</v>
      </c>
    </row>
    <row r="36" spans="1:8" ht="21" customHeight="1">
      <c r="B36" s="1559" t="s">
        <v>1357</v>
      </c>
      <c r="C36" s="1563">
        <v>1652</v>
      </c>
      <c r="D36" s="1560">
        <v>4970</v>
      </c>
      <c r="E36" s="1560">
        <v>298200</v>
      </c>
      <c r="F36" s="1565">
        <v>7</v>
      </c>
      <c r="G36" s="1560">
        <v>230000</v>
      </c>
      <c r="H36" s="448">
        <v>15801</v>
      </c>
    </row>
    <row r="37" spans="1:8" ht="21" customHeight="1">
      <c r="B37" s="1559" t="s">
        <v>628</v>
      </c>
      <c r="C37" s="1563">
        <v>2028</v>
      </c>
      <c r="D37" s="1560">
        <v>6000</v>
      </c>
      <c r="E37" s="1560">
        <v>304200</v>
      </c>
      <c r="F37" s="1565">
        <v>7</v>
      </c>
      <c r="G37" s="1560" t="s">
        <v>1114</v>
      </c>
      <c r="H37" s="448" t="s">
        <v>1115</v>
      </c>
    </row>
    <row r="38" spans="1:8" ht="21" customHeight="1">
      <c r="B38" s="1558" t="s">
        <v>1639</v>
      </c>
      <c r="C38" s="341">
        <v>2217</v>
      </c>
      <c r="D38" s="443">
        <v>6391</v>
      </c>
      <c r="E38" s="1517">
        <v>321119</v>
      </c>
      <c r="F38" s="442">
        <v>7</v>
      </c>
      <c r="G38" s="443">
        <v>200000</v>
      </c>
      <c r="H38" s="452">
        <v>7730</v>
      </c>
    </row>
    <row r="39" spans="1:8">
      <c r="A39" s="15" t="s">
        <v>1279</v>
      </c>
      <c r="B39" s="2364" t="s">
        <v>493</v>
      </c>
      <c r="C39" s="2365"/>
      <c r="E39" s="1063" t="s">
        <v>1525</v>
      </c>
      <c r="F39" s="1096" t="s">
        <v>1734</v>
      </c>
      <c r="G39" s="319"/>
    </row>
    <row r="40" spans="1:8">
      <c r="B40" s="2366"/>
      <c r="C40" s="2366"/>
      <c r="E40" s="1096"/>
      <c r="F40" s="1096" t="s">
        <v>481</v>
      </c>
    </row>
    <row r="41" spans="1:8">
      <c r="B41" s="2366"/>
      <c r="C41" s="2366"/>
      <c r="E41" s="1096"/>
      <c r="G41" s="319"/>
    </row>
    <row r="42" spans="1:8">
      <c r="E42" s="1041"/>
      <c r="F42" s="1096"/>
      <c r="G42" s="319"/>
    </row>
  </sheetData>
  <mergeCells count="49">
    <mergeCell ref="B1:H1"/>
    <mergeCell ref="B15:H15"/>
    <mergeCell ref="E4:F4"/>
    <mergeCell ref="E5:F5"/>
    <mergeCell ref="E6:F6"/>
    <mergeCell ref="B2:H2"/>
    <mergeCell ref="G8:H8"/>
    <mergeCell ref="E3:F3"/>
    <mergeCell ref="E9:F9"/>
    <mergeCell ref="G9:H9"/>
    <mergeCell ref="C7:D7"/>
    <mergeCell ref="G7:H7"/>
    <mergeCell ref="C3:D3"/>
    <mergeCell ref="C4:D4"/>
    <mergeCell ref="C5:D5"/>
    <mergeCell ref="C6:D6"/>
    <mergeCell ref="G3:H3"/>
    <mergeCell ref="C19:D19"/>
    <mergeCell ref="C20:D20"/>
    <mergeCell ref="C21:D21"/>
    <mergeCell ref="C8:D8"/>
    <mergeCell ref="C9:D9"/>
    <mergeCell ref="B16:H16"/>
    <mergeCell ref="E8:F8"/>
    <mergeCell ref="E18:F18"/>
    <mergeCell ref="C18:D18"/>
    <mergeCell ref="G4:H4"/>
    <mergeCell ref="G5:H5"/>
    <mergeCell ref="G6:H6"/>
    <mergeCell ref="E7:F7"/>
    <mergeCell ref="G18:H18"/>
    <mergeCell ref="E19:F19"/>
    <mergeCell ref="G21:H21"/>
    <mergeCell ref="G20:H20"/>
    <mergeCell ref="G19:H19"/>
    <mergeCell ref="E20:F20"/>
    <mergeCell ref="E21:F21"/>
    <mergeCell ref="B39:C41"/>
    <mergeCell ref="B31:H31"/>
    <mergeCell ref="C22:D22"/>
    <mergeCell ref="C23:D23"/>
    <mergeCell ref="G22:H22"/>
    <mergeCell ref="E22:F22"/>
    <mergeCell ref="C24:D24"/>
    <mergeCell ref="E24:F24"/>
    <mergeCell ref="E23:F23"/>
    <mergeCell ref="G24:H24"/>
    <mergeCell ref="B30:H30"/>
    <mergeCell ref="G23:H23"/>
  </mergeCells>
  <phoneticPr fontId="0" type="noConversion"/>
  <conditionalFormatting sqref="D1:D4 F1:F4 B42:C65538 H1:H4 C1:C38 B1:B39 I1:J1048576 L1:IV1048576 K1:K30 K38:K1048576 B5:C8 D8:D19 F8:F19 H8:H19 B20:C23 D23:D65538 E1:E1048576 C24:D24 B34:H37 H23:H39 H41:H65538 F42:F65538 F23:F40 G1:G39 G41:G1048576">
    <cfRule type="cellIs" dxfId="3" priority="1" stopIfTrue="1" operator="equal">
      <formula>".."</formula>
    </cfRule>
  </conditionalFormatting>
  <printOptions horizontalCentered="1"/>
  <pageMargins left="0.1" right="0.1" top="0.7" bottom="0.1" header="0.7" footer="0.1"/>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dimension ref="A1:V35"/>
  <sheetViews>
    <sheetView workbookViewId="0">
      <selection activeCell="C3" sqref="C3"/>
    </sheetView>
  </sheetViews>
  <sheetFormatPr defaultRowHeight="12.75"/>
  <cols>
    <col min="1" max="1" width="11.28515625" customWidth="1"/>
    <col min="2" max="2" width="17.28515625" customWidth="1"/>
    <col min="3" max="12" width="10.7109375" customWidth="1"/>
    <col min="13" max="13" width="10.42578125" customWidth="1"/>
    <col min="14" max="21" width="6.28515625" customWidth="1"/>
    <col min="22" max="22" width="7" customWidth="1"/>
  </cols>
  <sheetData>
    <row r="1" spans="1:22" ht="12.75" customHeight="1">
      <c r="B1" s="1825" t="s">
        <v>710</v>
      </c>
      <c r="C1" s="1825"/>
      <c r="D1" s="1825"/>
      <c r="E1" s="1825"/>
      <c r="F1" s="1825"/>
      <c r="G1" s="1825"/>
      <c r="H1" s="1825"/>
      <c r="I1" s="1825"/>
      <c r="J1" s="1825"/>
      <c r="K1" s="1825"/>
      <c r="L1" s="1825"/>
      <c r="M1" s="428"/>
      <c r="N1" s="428"/>
      <c r="O1" s="428"/>
      <c r="P1" s="428"/>
      <c r="Q1" s="428"/>
      <c r="R1" s="428"/>
      <c r="S1" s="428"/>
      <c r="T1" s="428"/>
      <c r="U1" s="428"/>
      <c r="V1" s="428"/>
    </row>
    <row r="2" spans="1:22" ht="32.25" customHeight="1">
      <c r="B2" s="2078" t="str">
        <f>CONCATENATE(" Offences reported, Cases tried, Persons convicted and acquitted for different classes of offence 
in the district of ",District!$A$1)</f>
        <v xml:space="preserve"> Offences reported, Cases tried, Persons convicted and acquitted for different classes of offence 
in the district of Purba Medinipur</v>
      </c>
      <c r="C2" s="2078"/>
      <c r="D2" s="2078"/>
      <c r="E2" s="2078"/>
      <c r="F2" s="2078"/>
      <c r="G2" s="2078"/>
      <c r="H2" s="2078"/>
      <c r="I2" s="2078"/>
      <c r="J2" s="2078"/>
      <c r="K2" s="2078"/>
      <c r="L2" s="2078"/>
      <c r="M2" s="431"/>
      <c r="N2" s="431"/>
      <c r="O2" s="431"/>
      <c r="P2" s="431"/>
      <c r="Q2" s="431"/>
      <c r="R2" s="431"/>
      <c r="S2" s="431"/>
      <c r="T2" s="431"/>
      <c r="U2" s="431"/>
      <c r="V2" s="431"/>
    </row>
    <row r="3" spans="1:22" ht="16.5" customHeight="1">
      <c r="B3" s="1250"/>
      <c r="C3" s="1254"/>
      <c r="D3" s="1254"/>
      <c r="E3" s="1254"/>
      <c r="F3" s="1254"/>
      <c r="G3" s="1254"/>
      <c r="H3" s="1254"/>
      <c r="I3" s="1254"/>
      <c r="J3" s="1254"/>
      <c r="K3" s="1254"/>
      <c r="L3" s="227" t="s">
        <v>1001</v>
      </c>
      <c r="M3" s="431"/>
      <c r="N3" s="431"/>
      <c r="O3" s="431"/>
      <c r="P3" s="431"/>
      <c r="Q3" s="431"/>
      <c r="R3" s="431"/>
      <c r="S3" s="431"/>
      <c r="T3" s="431"/>
      <c r="U3" s="431"/>
      <c r="V3" s="431"/>
    </row>
    <row r="4" spans="1:22" ht="12.75" customHeight="1">
      <c r="B4" s="1833" t="s">
        <v>25</v>
      </c>
      <c r="C4" s="2111" t="s">
        <v>230</v>
      </c>
      <c r="D4" s="2112"/>
      <c r="E4" s="2112"/>
      <c r="F4" s="2112"/>
      <c r="G4" s="2113"/>
      <c r="H4" s="2111" t="s">
        <v>231</v>
      </c>
      <c r="I4" s="2112"/>
      <c r="J4" s="2112"/>
      <c r="K4" s="2112"/>
      <c r="L4" s="2113"/>
      <c r="M4" s="34"/>
    </row>
    <row r="5" spans="1:22" ht="13.5" customHeight="1">
      <c r="B5" s="1832"/>
      <c r="C5" s="1238">
        <v>2010</v>
      </c>
      <c r="D5" s="838">
        <v>2011</v>
      </c>
      <c r="E5" s="838">
        <v>2012</v>
      </c>
      <c r="F5" s="1001">
        <v>2013</v>
      </c>
      <c r="G5" s="1001">
        <v>2014</v>
      </c>
      <c r="H5" s="1238">
        <v>2010</v>
      </c>
      <c r="I5" s="838">
        <v>2011</v>
      </c>
      <c r="J5" s="838">
        <v>2012</v>
      </c>
      <c r="K5" s="1001">
        <v>2013</v>
      </c>
      <c r="L5" s="1001">
        <v>2014</v>
      </c>
      <c r="M5" s="34"/>
    </row>
    <row r="6" spans="1:22" ht="13.5" customHeight="1">
      <c r="A6" s="1557"/>
      <c r="B6" s="134" t="s">
        <v>955</v>
      </c>
      <c r="C6" s="134" t="s">
        <v>956</v>
      </c>
      <c r="D6" s="137" t="s">
        <v>957</v>
      </c>
      <c r="E6" s="193" t="s">
        <v>958</v>
      </c>
      <c r="F6" s="137" t="s">
        <v>959</v>
      </c>
      <c r="G6" s="137" t="s">
        <v>961</v>
      </c>
      <c r="H6" s="137" t="s">
        <v>962</v>
      </c>
      <c r="I6" s="137" t="s">
        <v>990</v>
      </c>
      <c r="J6" s="137" t="s">
        <v>991</v>
      </c>
      <c r="K6" s="137" t="s">
        <v>992</v>
      </c>
      <c r="L6" s="134" t="s">
        <v>993</v>
      </c>
      <c r="M6" s="1557"/>
    </row>
    <row r="7" spans="1:22" ht="15.95" customHeight="1">
      <c r="A7" s="1557"/>
      <c r="B7" s="277" t="s">
        <v>223</v>
      </c>
      <c r="C7" s="599">
        <v>87</v>
      </c>
      <c r="D7" s="599">
        <v>84</v>
      </c>
      <c r="E7" s="599">
        <v>82</v>
      </c>
      <c r="F7" s="599">
        <v>101</v>
      </c>
      <c r="G7" s="599">
        <v>100</v>
      </c>
      <c r="H7" s="599">
        <v>2</v>
      </c>
      <c r="I7" s="1002">
        <v>221</v>
      </c>
      <c r="J7" s="599">
        <v>9</v>
      </c>
      <c r="K7" s="1002">
        <v>22</v>
      </c>
      <c r="L7" s="1002">
        <v>12</v>
      </c>
      <c r="M7" s="1566"/>
    </row>
    <row r="8" spans="1:22" ht="15.95" customHeight="1">
      <c r="A8" s="1557"/>
      <c r="B8" s="278" t="s">
        <v>224</v>
      </c>
      <c r="C8" s="599">
        <v>14</v>
      </c>
      <c r="D8" s="599">
        <v>11</v>
      </c>
      <c r="E8" s="599">
        <v>10</v>
      </c>
      <c r="F8" s="599">
        <v>6</v>
      </c>
      <c r="G8" s="599">
        <v>6</v>
      </c>
      <c r="H8" s="599">
        <v>2</v>
      </c>
      <c r="I8" s="1002">
        <v>37</v>
      </c>
      <c r="J8" s="1207" t="s">
        <v>918</v>
      </c>
      <c r="K8" s="628">
        <v>3</v>
      </c>
      <c r="L8" s="628">
        <v>2</v>
      </c>
      <c r="M8" s="1566"/>
    </row>
    <row r="9" spans="1:22" ht="15.95" customHeight="1">
      <c r="A9" s="1557"/>
      <c r="B9" s="278" t="s">
        <v>225</v>
      </c>
      <c r="C9" s="599">
        <v>25</v>
      </c>
      <c r="D9" s="599">
        <v>26</v>
      </c>
      <c r="E9" s="599">
        <v>28</v>
      </c>
      <c r="F9" s="599">
        <v>24</v>
      </c>
      <c r="G9" s="599">
        <v>25</v>
      </c>
      <c r="H9" s="599">
        <v>5</v>
      </c>
      <c r="I9" s="1002">
        <v>58</v>
      </c>
      <c r="J9" s="1207" t="s">
        <v>918</v>
      </c>
      <c r="K9" s="628">
        <v>1</v>
      </c>
      <c r="L9" s="628">
        <v>2</v>
      </c>
      <c r="M9" s="1566"/>
    </row>
    <row r="10" spans="1:22" ht="15.95" customHeight="1">
      <c r="A10" s="1557"/>
      <c r="B10" s="279" t="s">
        <v>226</v>
      </c>
      <c r="C10" s="599">
        <v>23</v>
      </c>
      <c r="D10" s="599">
        <v>29</v>
      </c>
      <c r="E10" s="599">
        <v>15</v>
      </c>
      <c r="F10" s="599">
        <v>20</v>
      </c>
      <c r="G10" s="599">
        <v>7</v>
      </c>
      <c r="H10" s="599">
        <v>4</v>
      </c>
      <c r="I10" s="1002">
        <v>57</v>
      </c>
      <c r="J10" s="1207" t="s">
        <v>918</v>
      </c>
      <c r="K10" s="1206" t="s">
        <v>1384</v>
      </c>
      <c r="L10" s="628">
        <v>1</v>
      </c>
      <c r="M10" s="1566"/>
    </row>
    <row r="11" spans="1:22" ht="15.95" customHeight="1">
      <c r="A11" s="1557"/>
      <c r="B11" s="279" t="s">
        <v>227</v>
      </c>
      <c r="C11" s="599">
        <v>581</v>
      </c>
      <c r="D11" s="599">
        <v>467</v>
      </c>
      <c r="E11" s="599">
        <v>403</v>
      </c>
      <c r="F11" s="599">
        <v>350</v>
      </c>
      <c r="G11" s="599">
        <v>434</v>
      </c>
      <c r="H11" s="599">
        <v>101</v>
      </c>
      <c r="I11" s="1002">
        <v>2607</v>
      </c>
      <c r="J11" s="599">
        <v>16</v>
      </c>
      <c r="K11" s="1002">
        <v>54</v>
      </c>
      <c r="L11" s="1002">
        <v>244</v>
      </c>
      <c r="M11" s="1566"/>
    </row>
    <row r="12" spans="1:22" ht="15.95" customHeight="1">
      <c r="A12" s="1557"/>
      <c r="B12" s="279" t="s">
        <v>228</v>
      </c>
      <c r="C12" s="599">
        <v>408</v>
      </c>
      <c r="D12" s="599">
        <v>387</v>
      </c>
      <c r="E12" s="599">
        <v>450</v>
      </c>
      <c r="F12" s="599">
        <v>524</v>
      </c>
      <c r="G12" s="599">
        <v>544</v>
      </c>
      <c r="H12" s="599">
        <v>117</v>
      </c>
      <c r="I12" s="1002">
        <v>595</v>
      </c>
      <c r="J12" s="599">
        <v>9</v>
      </c>
      <c r="K12" s="1002">
        <v>14</v>
      </c>
      <c r="L12" s="1002">
        <v>14</v>
      </c>
      <c r="M12" s="1566"/>
    </row>
    <row r="13" spans="1:22" ht="18.75" customHeight="1">
      <c r="A13" s="1557"/>
      <c r="B13" s="279" t="s">
        <v>161</v>
      </c>
      <c r="C13" s="599">
        <v>5145</v>
      </c>
      <c r="D13" s="599">
        <v>14813</v>
      </c>
      <c r="E13" s="599">
        <v>12521</v>
      </c>
      <c r="F13" s="599">
        <v>25853</v>
      </c>
      <c r="G13" s="599">
        <v>25497</v>
      </c>
      <c r="H13" s="599">
        <v>2816</v>
      </c>
      <c r="I13" s="1002">
        <v>16074</v>
      </c>
      <c r="J13" s="599">
        <v>10759</v>
      </c>
      <c r="K13" s="1002">
        <v>19312</v>
      </c>
      <c r="L13" s="1002">
        <v>9526</v>
      </c>
      <c r="M13" s="1566"/>
    </row>
    <row r="14" spans="1:22" ht="28.5" customHeight="1">
      <c r="A14" s="1557"/>
      <c r="B14" s="279" t="s">
        <v>229</v>
      </c>
      <c r="C14" s="599">
        <v>1002</v>
      </c>
      <c r="D14" s="599">
        <v>1166</v>
      </c>
      <c r="E14" s="599">
        <v>1324</v>
      </c>
      <c r="F14" s="599">
        <v>1427</v>
      </c>
      <c r="G14" s="599">
        <v>1689</v>
      </c>
      <c r="H14" s="599">
        <v>245</v>
      </c>
      <c r="I14" s="1002">
        <v>3625</v>
      </c>
      <c r="J14" s="599">
        <v>12</v>
      </c>
      <c r="K14" s="1002">
        <v>254</v>
      </c>
      <c r="L14" s="1002">
        <v>286</v>
      </c>
      <c r="M14" s="1566"/>
    </row>
    <row r="15" spans="1:22" ht="15.95" customHeight="1">
      <c r="A15" s="1557"/>
      <c r="B15" s="280" t="s">
        <v>1128</v>
      </c>
      <c r="C15" s="837">
        <v>2600</v>
      </c>
      <c r="D15" s="837">
        <v>2930</v>
      </c>
      <c r="E15" s="837">
        <v>3717</v>
      </c>
      <c r="F15" s="837">
        <v>4333</v>
      </c>
      <c r="G15" s="837">
        <v>5306</v>
      </c>
      <c r="H15" s="837">
        <v>645</v>
      </c>
      <c r="I15" s="1003">
        <v>19937</v>
      </c>
      <c r="J15" s="837">
        <v>205</v>
      </c>
      <c r="K15" s="1003">
        <v>276</v>
      </c>
      <c r="L15" s="1003">
        <v>364</v>
      </c>
      <c r="M15" s="1566"/>
    </row>
    <row r="16" spans="1:22" ht="15.95" customHeight="1">
      <c r="A16" s="1557"/>
      <c r="B16" s="276" t="s">
        <v>979</v>
      </c>
      <c r="C16" s="275">
        <f t="shared" ref="C16:L16" si="0">IF(SUM(C7:C15)=0,"-",SUM(C7:C15))</f>
        <v>9885</v>
      </c>
      <c r="D16" s="595">
        <f t="shared" si="0"/>
        <v>19913</v>
      </c>
      <c r="E16" s="595">
        <f t="shared" si="0"/>
        <v>18550</v>
      </c>
      <c r="F16" s="595">
        <f t="shared" si="0"/>
        <v>32638</v>
      </c>
      <c r="G16" s="595">
        <f t="shared" si="0"/>
        <v>33608</v>
      </c>
      <c r="H16" s="276">
        <f t="shared" si="0"/>
        <v>3937</v>
      </c>
      <c r="I16" s="275">
        <f t="shared" si="0"/>
        <v>43211</v>
      </c>
      <c r="J16" s="139">
        <f t="shared" si="0"/>
        <v>11010</v>
      </c>
      <c r="K16" s="139">
        <f t="shared" si="0"/>
        <v>19936</v>
      </c>
      <c r="L16" s="197">
        <f t="shared" si="0"/>
        <v>10451</v>
      </c>
      <c r="M16" s="1566"/>
    </row>
    <row r="17" spans="1:21" ht="11.25" customHeight="1">
      <c r="B17" s="507"/>
      <c r="C17" s="507"/>
      <c r="D17" s="507"/>
      <c r="E17" s="507"/>
      <c r="F17" s="507"/>
      <c r="G17" s="507"/>
      <c r="H17" s="507"/>
      <c r="I17" s="507"/>
      <c r="J17" s="507"/>
      <c r="K17" s="507"/>
      <c r="L17" s="879" t="s">
        <v>444</v>
      </c>
      <c r="M17" s="34"/>
    </row>
    <row r="18" spans="1:21" ht="11.25" customHeight="1">
      <c r="B18" s="507"/>
      <c r="C18" s="507"/>
      <c r="D18" s="507"/>
      <c r="E18" s="507"/>
      <c r="F18" s="507"/>
      <c r="G18" s="507"/>
      <c r="H18" s="507"/>
      <c r="I18" s="507"/>
      <c r="J18" s="507"/>
      <c r="K18" s="507"/>
      <c r="L18" s="507"/>
      <c r="M18" s="34"/>
    </row>
    <row r="19" spans="1:21" ht="12" customHeight="1">
      <c r="B19" s="2154" t="s">
        <v>471</v>
      </c>
      <c r="C19" s="2154"/>
      <c r="D19" s="2154"/>
      <c r="E19" s="2154"/>
      <c r="F19" s="2154"/>
      <c r="G19" s="2154"/>
      <c r="H19" s="2154"/>
      <c r="I19" s="2154"/>
      <c r="J19" s="2154"/>
      <c r="K19" s="2154"/>
      <c r="L19" s="2154"/>
      <c r="M19" s="34"/>
      <c r="N19" s="428"/>
      <c r="O19" s="7"/>
      <c r="P19" s="319"/>
      <c r="Q19" s="319"/>
      <c r="R19" s="319"/>
      <c r="S19" s="319"/>
      <c r="T19" s="319"/>
      <c r="U19" s="319"/>
    </row>
    <row r="20" spans="1:21" ht="15" customHeight="1">
      <c r="B20" s="1833" t="s">
        <v>25</v>
      </c>
      <c r="C20" s="1829" t="s">
        <v>232</v>
      </c>
      <c r="D20" s="1827"/>
      <c r="E20" s="1827"/>
      <c r="F20" s="1827"/>
      <c r="G20" s="1828"/>
      <c r="H20" s="1829" t="s">
        <v>233</v>
      </c>
      <c r="I20" s="1827"/>
      <c r="J20" s="1827"/>
      <c r="K20" s="1827"/>
      <c r="L20" s="1828"/>
      <c r="M20" s="34"/>
    </row>
    <row r="21" spans="1:21" ht="13.5" customHeight="1">
      <c r="B21" s="1832"/>
      <c r="C21" s="1238">
        <v>2010</v>
      </c>
      <c r="D21" s="838">
        <v>2011</v>
      </c>
      <c r="E21" s="838">
        <v>2012</v>
      </c>
      <c r="F21" s="1001">
        <v>2013</v>
      </c>
      <c r="G21" s="1001">
        <v>2014</v>
      </c>
      <c r="H21" s="1238">
        <v>2010</v>
      </c>
      <c r="I21" s="838">
        <v>2011</v>
      </c>
      <c r="J21" s="838">
        <v>2012</v>
      </c>
      <c r="K21" s="1001">
        <v>2013</v>
      </c>
      <c r="L21" s="1001">
        <v>2014</v>
      </c>
      <c r="M21" s="34"/>
    </row>
    <row r="22" spans="1:21" ht="12.75" customHeight="1">
      <c r="B22" s="134" t="s">
        <v>955</v>
      </c>
      <c r="C22" s="137" t="s">
        <v>1046</v>
      </c>
      <c r="D22" s="191" t="s">
        <v>1048</v>
      </c>
      <c r="E22" s="191" t="s">
        <v>1049</v>
      </c>
      <c r="F22" s="191" t="s">
        <v>1050</v>
      </c>
      <c r="G22" s="191" t="s">
        <v>1051</v>
      </c>
      <c r="H22" s="191" t="s">
        <v>1052</v>
      </c>
      <c r="I22" s="191" t="s">
        <v>1054</v>
      </c>
      <c r="J22" s="191" t="s">
        <v>1053</v>
      </c>
      <c r="K22" s="191" t="s">
        <v>1431</v>
      </c>
      <c r="L22" s="193" t="s">
        <v>1432</v>
      </c>
      <c r="M22" s="34"/>
    </row>
    <row r="23" spans="1:21" ht="16.5" customHeight="1">
      <c r="A23" s="1557"/>
      <c r="B23" s="277" t="s">
        <v>223</v>
      </c>
      <c r="C23" s="1561">
        <v>2</v>
      </c>
      <c r="D23" s="1561">
        <v>5</v>
      </c>
      <c r="E23" s="1561">
        <v>11</v>
      </c>
      <c r="F23" s="1561">
        <v>18</v>
      </c>
      <c r="G23" s="117">
        <v>13</v>
      </c>
      <c r="H23" s="1205" t="s">
        <v>918</v>
      </c>
      <c r="I23" s="123" t="s">
        <v>918</v>
      </c>
      <c r="J23" s="1205" t="s">
        <v>918</v>
      </c>
      <c r="K23" s="1401">
        <v>69</v>
      </c>
      <c r="L23" s="1401">
        <v>23</v>
      </c>
      <c r="M23" s="1566"/>
    </row>
    <row r="24" spans="1:21" ht="16.5" customHeight="1">
      <c r="A24" s="1557"/>
      <c r="B24" s="278" t="s">
        <v>224</v>
      </c>
      <c r="C24" s="123" t="s">
        <v>918</v>
      </c>
      <c r="D24" s="123" t="s">
        <v>918</v>
      </c>
      <c r="E24" s="123" t="s">
        <v>918</v>
      </c>
      <c r="F24" s="1563">
        <v>3</v>
      </c>
      <c r="G24" s="407">
        <v>5</v>
      </c>
      <c r="H24" s="1206" t="s">
        <v>918</v>
      </c>
      <c r="I24" s="1207" t="s">
        <v>918</v>
      </c>
      <c r="J24" s="1206" t="s">
        <v>918</v>
      </c>
      <c r="K24" s="628">
        <v>11</v>
      </c>
      <c r="L24" s="628">
        <v>3</v>
      </c>
      <c r="M24" s="1566"/>
    </row>
    <row r="25" spans="1:21" ht="16.5" customHeight="1">
      <c r="A25" s="1557"/>
      <c r="B25" s="278" t="s">
        <v>225</v>
      </c>
      <c r="C25" s="123" t="s">
        <v>918</v>
      </c>
      <c r="D25" s="123" t="s">
        <v>918</v>
      </c>
      <c r="E25" s="123" t="s">
        <v>918</v>
      </c>
      <c r="F25" s="123" t="s">
        <v>1384</v>
      </c>
      <c r="G25" s="145" t="s">
        <v>918</v>
      </c>
      <c r="H25" s="145" t="s">
        <v>918</v>
      </c>
      <c r="I25" s="123" t="s">
        <v>918</v>
      </c>
      <c r="J25" s="145" t="s">
        <v>918</v>
      </c>
      <c r="K25" s="1560">
        <v>1</v>
      </c>
      <c r="L25" s="391">
        <v>3</v>
      </c>
      <c r="M25" s="1566"/>
    </row>
    <row r="26" spans="1:21" ht="16.5" customHeight="1">
      <c r="A26" s="1557"/>
      <c r="B26" s="279" t="s">
        <v>226</v>
      </c>
      <c r="C26" s="123" t="s">
        <v>918</v>
      </c>
      <c r="D26" s="123" t="s">
        <v>918</v>
      </c>
      <c r="E26" s="123" t="s">
        <v>918</v>
      </c>
      <c r="F26" s="123" t="s">
        <v>1384</v>
      </c>
      <c r="G26" s="1206" t="s">
        <v>918</v>
      </c>
      <c r="H26" s="1206" t="s">
        <v>918</v>
      </c>
      <c r="I26" s="1207" t="s">
        <v>918</v>
      </c>
      <c r="J26" s="1206" t="s">
        <v>918</v>
      </c>
      <c r="K26" s="1206" t="s">
        <v>1384</v>
      </c>
      <c r="L26" s="628">
        <v>1</v>
      </c>
      <c r="M26" s="1566"/>
    </row>
    <row r="27" spans="1:21" ht="16.5" customHeight="1">
      <c r="A27" s="1557"/>
      <c r="B27" s="279" t="s">
        <v>227</v>
      </c>
      <c r="C27" s="123" t="s">
        <v>918</v>
      </c>
      <c r="D27" s="123" t="s">
        <v>918</v>
      </c>
      <c r="E27" s="1563">
        <v>14</v>
      </c>
      <c r="F27" s="1563" t="s">
        <v>1384</v>
      </c>
      <c r="G27" s="145" t="s">
        <v>918</v>
      </c>
      <c r="H27" s="145" t="s">
        <v>918</v>
      </c>
      <c r="I27" s="1561">
        <v>45</v>
      </c>
      <c r="J27" s="1569">
        <v>97</v>
      </c>
      <c r="K27" s="1569">
        <v>565</v>
      </c>
      <c r="L27" s="110">
        <v>410</v>
      </c>
      <c r="M27" s="1566"/>
    </row>
    <row r="28" spans="1:21" ht="16.5" customHeight="1">
      <c r="A28" s="1557"/>
      <c r="B28" s="279" t="s">
        <v>228</v>
      </c>
      <c r="C28" s="123" t="s">
        <v>918</v>
      </c>
      <c r="D28" s="1561">
        <v>9</v>
      </c>
      <c r="E28" s="123" t="s">
        <v>918</v>
      </c>
      <c r="F28" s="123" t="s">
        <v>1384</v>
      </c>
      <c r="G28" s="1206" t="s">
        <v>918</v>
      </c>
      <c r="H28" s="1206" t="s">
        <v>918</v>
      </c>
      <c r="I28" s="599">
        <v>9</v>
      </c>
      <c r="J28" s="1002">
        <v>26</v>
      </c>
      <c r="K28" s="1002">
        <v>36</v>
      </c>
      <c r="L28" s="1002">
        <v>42</v>
      </c>
      <c r="M28" s="1566"/>
    </row>
    <row r="29" spans="1:21" ht="16.5" customHeight="1">
      <c r="A29" s="1557"/>
      <c r="B29" s="279" t="s">
        <v>161</v>
      </c>
      <c r="C29" s="1561">
        <v>4991</v>
      </c>
      <c r="D29" s="1561">
        <v>7974</v>
      </c>
      <c r="E29" s="1561">
        <v>13997</v>
      </c>
      <c r="F29" s="1561">
        <v>22985</v>
      </c>
      <c r="G29" s="117">
        <v>11973</v>
      </c>
      <c r="H29" s="1569">
        <v>343</v>
      </c>
      <c r="I29" s="1561">
        <v>61</v>
      </c>
      <c r="J29" s="1569">
        <v>27</v>
      </c>
      <c r="K29" s="1569">
        <v>36</v>
      </c>
      <c r="L29" s="110">
        <v>22</v>
      </c>
      <c r="M29" s="1566"/>
    </row>
    <row r="30" spans="1:21" ht="24.95" customHeight="1">
      <c r="A30" s="1557"/>
      <c r="B30" s="279" t="s">
        <v>229</v>
      </c>
      <c r="C30" s="1561">
        <v>8</v>
      </c>
      <c r="D30" s="1561">
        <v>4</v>
      </c>
      <c r="E30" s="1561">
        <v>7</v>
      </c>
      <c r="F30" s="1561">
        <v>15</v>
      </c>
      <c r="G30" s="117">
        <v>15</v>
      </c>
      <c r="H30" s="1206" t="s">
        <v>918</v>
      </c>
      <c r="I30" s="599">
        <v>75</v>
      </c>
      <c r="J30" s="1002">
        <v>12</v>
      </c>
      <c r="K30" s="1002">
        <v>844</v>
      </c>
      <c r="L30" s="1002">
        <v>906</v>
      </c>
      <c r="M30" s="1566"/>
    </row>
    <row r="31" spans="1:21" ht="16.5" customHeight="1">
      <c r="A31" s="1557"/>
      <c r="B31" s="280" t="s">
        <v>1128</v>
      </c>
      <c r="C31" s="1561">
        <v>37</v>
      </c>
      <c r="D31" s="1561">
        <v>29</v>
      </c>
      <c r="E31" s="1561">
        <v>81</v>
      </c>
      <c r="F31" s="1561">
        <v>113</v>
      </c>
      <c r="G31" s="117">
        <v>113</v>
      </c>
      <c r="H31" s="1397" t="s">
        <v>918</v>
      </c>
      <c r="I31" s="599">
        <v>245</v>
      </c>
      <c r="J31" s="1003">
        <v>472</v>
      </c>
      <c r="K31" s="1003">
        <v>749</v>
      </c>
      <c r="L31" s="1003">
        <v>891</v>
      </c>
      <c r="M31" s="1566"/>
    </row>
    <row r="32" spans="1:21" ht="15" customHeight="1">
      <c r="A32" s="1557"/>
      <c r="B32" s="275" t="s">
        <v>979</v>
      </c>
      <c r="C32" s="138">
        <f>IF(SUM(C23:C31)=0,"-",SUM(C23:C31))</f>
        <v>5038</v>
      </c>
      <c r="D32" s="276">
        <f>IF(SUM(D23:D31)=0,"-",SUM(D23:D31))</f>
        <v>8021</v>
      </c>
      <c r="E32" s="276">
        <f>IF(SUM(E23:E31)=0,"-",SUM(E23:E31))</f>
        <v>14110</v>
      </c>
      <c r="F32" s="276">
        <f>IF(SUM(F23:F31)=0,"-",SUM(F23:F31))</f>
        <v>23134</v>
      </c>
      <c r="G32" s="276">
        <f t="shared" ref="G32:L32" si="1">IF(SUM(G23:G31)=0,"-",SUM(G23:G31))</f>
        <v>12119</v>
      </c>
      <c r="H32" s="276">
        <f t="shared" si="1"/>
        <v>343</v>
      </c>
      <c r="I32" s="276">
        <f t="shared" si="1"/>
        <v>435</v>
      </c>
      <c r="J32" s="276">
        <f t="shared" si="1"/>
        <v>634</v>
      </c>
      <c r="K32" s="275">
        <f>IF(SUM(K23:K31)=0,"-",SUM(K23:K31))</f>
        <v>2311</v>
      </c>
      <c r="L32" s="275">
        <f t="shared" si="1"/>
        <v>2301</v>
      </c>
      <c r="M32" s="1566"/>
    </row>
    <row r="33" spans="2:12">
      <c r="B33" s="576"/>
      <c r="C33" s="576"/>
      <c r="D33" s="576"/>
      <c r="E33" s="576"/>
      <c r="L33" s="1103" t="str">
        <f>CONCATENATE("Source : Superintendent of Police, ",District!$A$1)</f>
        <v>Source : Superintendent of Police, Purba Medinipur</v>
      </c>
    </row>
    <row r="34" spans="2:12">
      <c r="B34" s="558"/>
      <c r="C34" s="558"/>
      <c r="D34" s="558"/>
      <c r="E34" s="558"/>
      <c r="G34" s="7"/>
    </row>
    <row r="35" spans="2:12">
      <c r="B35" s="244"/>
      <c r="C35" s="7"/>
      <c r="D35" s="21"/>
      <c r="E35" s="7"/>
      <c r="F35" s="7"/>
      <c r="G35" s="7"/>
    </row>
  </sheetData>
  <mergeCells count="9">
    <mergeCell ref="H20:L20"/>
    <mergeCell ref="B20:B21"/>
    <mergeCell ref="C20:G20"/>
    <mergeCell ref="B1:L1"/>
    <mergeCell ref="B2:L2"/>
    <mergeCell ref="B19:L19"/>
    <mergeCell ref="B4:B5"/>
    <mergeCell ref="C4:G4"/>
    <mergeCell ref="H4:L4"/>
  </mergeCells>
  <phoneticPr fontId="0" type="noConversion"/>
  <conditionalFormatting sqref="A6">
    <cfRule type="cellIs" dxfId="2" priority="2" stopIfTrue="1" operator="equal">
      <formula>".."</formula>
    </cfRule>
  </conditionalFormatting>
  <conditionalFormatting sqref="M6">
    <cfRule type="cellIs" dxfId="1" priority="1" stopIfTrue="1" operator="equal">
      <formula>".."</formula>
    </cfRule>
  </conditionalFormatting>
  <pageMargins left="0.1" right="0.1" top="0.32" bottom="0.1" header="0.33" footer="0.1"/>
  <pageSetup paperSize="9" orientation="landscape" blackAndWhite="1" r:id="rId1"/>
  <headerFooter alignWithMargins="0"/>
</worksheet>
</file>

<file path=xl/worksheets/sheet74.xml><?xml version="1.0" encoding="utf-8"?>
<worksheet xmlns="http://schemas.openxmlformats.org/spreadsheetml/2006/main" xmlns:r="http://schemas.openxmlformats.org/officeDocument/2006/relationships">
  <dimension ref="B1:N33"/>
  <sheetViews>
    <sheetView topLeftCell="C1" workbookViewId="0">
      <selection activeCell="R24" sqref="R24"/>
    </sheetView>
  </sheetViews>
  <sheetFormatPr defaultRowHeight="12.75"/>
  <cols>
    <col min="1" max="1" width="8.140625" customWidth="1"/>
    <col min="2" max="2" width="15.28515625" customWidth="1"/>
    <col min="3" max="3" width="8.28515625" customWidth="1"/>
    <col min="4" max="13" width="10.85546875" customWidth="1"/>
  </cols>
  <sheetData>
    <row r="1" spans="2:13" ht="14.25" customHeight="1">
      <c r="B1" s="1825" t="s">
        <v>708</v>
      </c>
      <c r="C1" s="1825"/>
      <c r="D1" s="1825"/>
      <c r="E1" s="1825"/>
      <c r="F1" s="1825"/>
      <c r="G1" s="1825"/>
      <c r="H1" s="1825"/>
      <c r="I1" s="1825"/>
      <c r="J1" s="1825"/>
      <c r="K1" s="1825"/>
      <c r="L1" s="1825"/>
      <c r="M1" s="1825"/>
    </row>
    <row r="2" spans="2:13" ht="17.25" customHeight="1">
      <c r="B2" s="2354" t="str">
        <f>CONCATENATE(" Police Stations and Out-posts in different Sub-divisions in the district of ",District!$A$1)</f>
        <v xml:space="preserve"> Police Stations and Out-posts in different Sub-divisions in the district of Purba Medinipur</v>
      </c>
      <c r="C2" s="2354"/>
      <c r="D2" s="2354"/>
      <c r="E2" s="2354"/>
      <c r="F2" s="2354"/>
      <c r="G2" s="2354"/>
      <c r="H2" s="2354"/>
      <c r="I2" s="2354"/>
      <c r="J2" s="2354"/>
      <c r="K2" s="2354"/>
      <c r="L2" s="2354"/>
      <c r="M2" s="2354"/>
    </row>
    <row r="3" spans="2:13" ht="12.75" customHeight="1">
      <c r="C3" s="40"/>
      <c r="D3" s="40"/>
      <c r="E3" s="40"/>
      <c r="F3" s="40"/>
      <c r="G3" s="4"/>
      <c r="H3" s="40"/>
      <c r="I3" s="44"/>
      <c r="J3" s="44"/>
      <c r="K3" s="44"/>
      <c r="M3" s="843" t="s">
        <v>1001</v>
      </c>
    </row>
    <row r="4" spans="2:13" ht="18" customHeight="1">
      <c r="B4" s="2167" t="s">
        <v>26</v>
      </c>
      <c r="C4" s="2168"/>
      <c r="D4" s="2274" t="s">
        <v>1480</v>
      </c>
      <c r="E4" s="2274"/>
      <c r="F4" s="2274"/>
      <c r="G4" s="2274"/>
      <c r="H4" s="2274"/>
      <c r="I4" s="2167" t="s">
        <v>1479</v>
      </c>
      <c r="J4" s="2274"/>
      <c r="K4" s="2274"/>
      <c r="L4" s="2274"/>
      <c r="M4" s="2168"/>
    </row>
    <row r="5" spans="2:13" ht="18" customHeight="1">
      <c r="B5" s="2275"/>
      <c r="C5" s="2276"/>
      <c r="D5" s="1238">
        <v>2010</v>
      </c>
      <c r="E5" s="1238">
        <v>2011</v>
      </c>
      <c r="F5" s="1238">
        <v>2012</v>
      </c>
      <c r="G5" s="1238">
        <v>2013</v>
      </c>
      <c r="H5" s="1238">
        <v>2014</v>
      </c>
      <c r="I5" s="1238">
        <v>2010</v>
      </c>
      <c r="J5" s="1238">
        <v>2011</v>
      </c>
      <c r="K5" s="1238">
        <v>2012</v>
      </c>
      <c r="L5" s="1238">
        <v>2013</v>
      </c>
      <c r="M5" s="456">
        <v>2014</v>
      </c>
    </row>
    <row r="6" spans="2:13" ht="17.45" customHeight="1">
      <c r="B6" s="1823" t="s">
        <v>955</v>
      </c>
      <c r="C6" s="1824"/>
      <c r="D6" s="840" t="s">
        <v>956</v>
      </c>
      <c r="E6" s="592" t="s">
        <v>957</v>
      </c>
      <c r="F6" s="1004" t="s">
        <v>958</v>
      </c>
      <c r="G6" s="592" t="s">
        <v>959</v>
      </c>
      <c r="H6" s="840" t="s">
        <v>961</v>
      </c>
      <c r="I6" s="1007" t="s">
        <v>962</v>
      </c>
      <c r="J6" s="592" t="s">
        <v>990</v>
      </c>
      <c r="K6" s="840" t="s">
        <v>991</v>
      </c>
      <c r="L6" s="592" t="s">
        <v>992</v>
      </c>
      <c r="M6" s="593" t="s">
        <v>993</v>
      </c>
    </row>
    <row r="7" spans="2:13" ht="15" customHeight="1">
      <c r="B7" s="2123" t="s">
        <v>200</v>
      </c>
      <c r="C7" s="2124"/>
      <c r="D7" s="120">
        <v>6</v>
      </c>
      <c r="E7" s="104">
        <v>6</v>
      </c>
      <c r="F7" s="120">
        <v>6</v>
      </c>
      <c r="G7" s="104">
        <v>6</v>
      </c>
      <c r="H7" s="495">
        <v>6</v>
      </c>
      <c r="I7" s="125">
        <v>2</v>
      </c>
      <c r="J7" s="1002">
        <v>2</v>
      </c>
      <c r="K7" s="1005">
        <v>2</v>
      </c>
      <c r="L7" s="1002">
        <v>2</v>
      </c>
      <c r="M7" s="1065">
        <v>2</v>
      </c>
    </row>
    <row r="8" spans="2:13" ht="15" customHeight="1">
      <c r="B8" s="2350" t="s">
        <v>1399</v>
      </c>
      <c r="C8" s="2351"/>
      <c r="D8" s="120">
        <v>6</v>
      </c>
      <c r="E8" s="104">
        <v>6</v>
      </c>
      <c r="F8" s="120">
        <v>6</v>
      </c>
      <c r="G8" s="104">
        <v>6</v>
      </c>
      <c r="H8" s="120">
        <v>6</v>
      </c>
      <c r="I8" s="117">
        <v>6</v>
      </c>
      <c r="J8" s="1002">
        <v>6</v>
      </c>
      <c r="K8" s="425">
        <v>6</v>
      </c>
      <c r="L8" s="1002">
        <v>6</v>
      </c>
      <c r="M8" s="1065">
        <v>6</v>
      </c>
    </row>
    <row r="9" spans="2:13" ht="15" customHeight="1">
      <c r="B9" s="2350" t="s">
        <v>1416</v>
      </c>
      <c r="C9" s="2351"/>
      <c r="D9" s="120">
        <v>7</v>
      </c>
      <c r="E9" s="104">
        <v>7</v>
      </c>
      <c r="F9" s="120">
        <v>8</v>
      </c>
      <c r="G9" s="104">
        <v>8</v>
      </c>
      <c r="H9" s="120">
        <v>10</v>
      </c>
      <c r="I9" s="117">
        <v>3</v>
      </c>
      <c r="J9" s="1002">
        <v>3</v>
      </c>
      <c r="K9" s="425">
        <v>3</v>
      </c>
      <c r="L9" s="1002">
        <v>3</v>
      </c>
      <c r="M9" s="1065">
        <v>3</v>
      </c>
    </row>
    <row r="10" spans="2:13" ht="15" customHeight="1">
      <c r="B10" s="1847" t="s">
        <v>1403</v>
      </c>
      <c r="C10" s="1848"/>
      <c r="D10" s="1564">
        <v>3</v>
      </c>
      <c r="E10" s="1567">
        <v>3</v>
      </c>
      <c r="F10" s="1564">
        <v>3</v>
      </c>
      <c r="G10" s="1567">
        <v>3</v>
      </c>
      <c r="H10" s="1633">
        <v>3</v>
      </c>
      <c r="I10" s="117">
        <v>1</v>
      </c>
      <c r="J10" s="1003">
        <v>1</v>
      </c>
      <c r="K10" s="1006">
        <v>1</v>
      </c>
      <c r="L10" s="1002">
        <v>1</v>
      </c>
      <c r="M10" s="1065">
        <v>1</v>
      </c>
    </row>
    <row r="11" spans="2:13" ht="17.45" customHeight="1">
      <c r="B11" s="1946" t="s">
        <v>979</v>
      </c>
      <c r="C11" s="1947"/>
      <c r="D11" s="138">
        <f t="shared" ref="D11:M11" si="0">SUM(D7:D10)</f>
        <v>22</v>
      </c>
      <c r="E11" s="275">
        <f t="shared" si="0"/>
        <v>22</v>
      </c>
      <c r="F11" s="138">
        <f t="shared" si="0"/>
        <v>23</v>
      </c>
      <c r="G11" s="1632">
        <f t="shared" si="0"/>
        <v>23</v>
      </c>
      <c r="H11" s="275">
        <f t="shared" si="0"/>
        <v>25</v>
      </c>
      <c r="I11" s="276">
        <f t="shared" si="0"/>
        <v>12</v>
      </c>
      <c r="J11" s="275">
        <f t="shared" si="0"/>
        <v>12</v>
      </c>
      <c r="K11" s="275">
        <f t="shared" si="0"/>
        <v>12</v>
      </c>
      <c r="L11" s="275">
        <f t="shared" si="0"/>
        <v>12</v>
      </c>
      <c r="M11" s="139">
        <f t="shared" si="0"/>
        <v>12</v>
      </c>
    </row>
    <row r="12" spans="2:13" ht="12" customHeight="1">
      <c r="B12" s="245"/>
      <c r="C12" s="7"/>
      <c r="D12" s="7"/>
      <c r="E12" s="48"/>
      <c r="G12" s="7"/>
      <c r="H12" s="332"/>
      <c r="I12" s="332"/>
      <c r="J12" s="332"/>
      <c r="K12" s="319"/>
      <c r="M12" s="1103" t="s">
        <v>483</v>
      </c>
    </row>
    <row r="13" spans="2:13" ht="12" customHeight="1">
      <c r="B13" s="245"/>
      <c r="C13" s="7"/>
      <c r="D13" s="7"/>
      <c r="E13" s="48"/>
      <c r="G13" s="7"/>
      <c r="H13" s="332"/>
      <c r="I13" s="332"/>
      <c r="J13" s="332"/>
      <c r="K13" s="319"/>
      <c r="M13" s="1794"/>
    </row>
    <row r="14" spans="2:13" ht="14.25" customHeight="1">
      <c r="B14" s="245"/>
      <c r="C14" s="7"/>
      <c r="D14" s="7"/>
      <c r="E14" s="48"/>
      <c r="G14" s="7"/>
      <c r="H14" s="332"/>
      <c r="I14" s="332"/>
      <c r="J14" s="332"/>
      <c r="K14" s="319"/>
      <c r="L14" s="331"/>
    </row>
    <row r="15" spans="2:13" ht="14.25" customHeight="1">
      <c r="B15" s="1825" t="s">
        <v>709</v>
      </c>
      <c r="C15" s="1825"/>
      <c r="D15" s="1825"/>
      <c r="E15" s="1825"/>
      <c r="F15" s="1825"/>
      <c r="G15" s="1825"/>
      <c r="H15" s="1825"/>
      <c r="I15" s="1825"/>
      <c r="J15" s="1825"/>
      <c r="K15" s="1825"/>
      <c r="L15" s="1825"/>
      <c r="M15" s="1825"/>
    </row>
    <row r="16" spans="2:13" ht="17.25" customHeight="1">
      <c r="B16" s="2323" t="str">
        <f>CONCATENATE("Strength of Police Force by category in the district of ",District!$A$1)</f>
        <v>Strength of Police Force by category in the district of Purba Medinipur</v>
      </c>
      <c r="C16" s="2323"/>
      <c r="D16" s="2323"/>
      <c r="E16" s="2323"/>
      <c r="F16" s="2323"/>
      <c r="G16" s="2323"/>
      <c r="H16" s="2323"/>
      <c r="I16" s="2323"/>
      <c r="J16" s="2323"/>
      <c r="K16" s="2323"/>
      <c r="L16" s="2323"/>
      <c r="M16" s="2323"/>
    </row>
    <row r="17" spans="2:14" ht="12.75" customHeight="1">
      <c r="D17" s="23"/>
      <c r="E17" s="23"/>
      <c r="F17" s="23"/>
      <c r="G17" s="23"/>
      <c r="I17" s="7"/>
      <c r="J17" s="7"/>
      <c r="M17" s="227" t="s">
        <v>1001</v>
      </c>
    </row>
    <row r="18" spans="2:14" ht="17.45" customHeight="1">
      <c r="B18" s="1829" t="s">
        <v>234</v>
      </c>
      <c r="C18" s="1828"/>
      <c r="D18" s="1829">
        <v>2010</v>
      </c>
      <c r="E18" s="1828"/>
      <c r="F18" s="1829">
        <v>2011</v>
      </c>
      <c r="G18" s="1828"/>
      <c r="H18" s="1829">
        <v>2012</v>
      </c>
      <c r="I18" s="1828"/>
      <c r="J18" s="1829">
        <v>2013</v>
      </c>
      <c r="K18" s="1828"/>
      <c r="L18" s="1829">
        <v>2014</v>
      </c>
      <c r="M18" s="1828"/>
    </row>
    <row r="19" spans="2:14" ht="17.45" customHeight="1">
      <c r="B19" s="2094" t="s">
        <v>955</v>
      </c>
      <c r="C19" s="2095"/>
      <c r="D19" s="2094" t="s">
        <v>956</v>
      </c>
      <c r="E19" s="2099"/>
      <c r="F19" s="2094" t="s">
        <v>957</v>
      </c>
      <c r="G19" s="2095"/>
      <c r="H19" s="2318" t="s">
        <v>958</v>
      </c>
      <c r="I19" s="2319"/>
      <c r="J19" s="2094" t="s">
        <v>959</v>
      </c>
      <c r="K19" s="2095"/>
      <c r="L19" s="2094" t="s">
        <v>961</v>
      </c>
      <c r="M19" s="2099"/>
      <c r="N19" s="1557"/>
    </row>
    <row r="20" spans="2:14" ht="15" customHeight="1">
      <c r="B20" s="2123" t="s">
        <v>1462</v>
      </c>
      <c r="C20" s="2228"/>
      <c r="D20" s="2368">
        <v>1</v>
      </c>
      <c r="E20" s="2369"/>
      <c r="F20" s="2368">
        <v>1</v>
      </c>
      <c r="G20" s="2369"/>
      <c r="H20" s="2368">
        <v>1</v>
      </c>
      <c r="I20" s="2369"/>
      <c r="J20" s="2368">
        <v>1</v>
      </c>
      <c r="K20" s="2369"/>
      <c r="L20" s="2368">
        <v>1</v>
      </c>
      <c r="M20" s="2369"/>
      <c r="N20" s="1557"/>
    </row>
    <row r="21" spans="2:14" ht="15" customHeight="1">
      <c r="B21" s="2375" t="s">
        <v>1463</v>
      </c>
      <c r="C21" s="2137"/>
      <c r="D21" s="2246">
        <v>3</v>
      </c>
      <c r="E21" s="2247"/>
      <c r="F21" s="2246">
        <v>3</v>
      </c>
      <c r="G21" s="2247"/>
      <c r="H21" s="2246">
        <v>3</v>
      </c>
      <c r="I21" s="2247"/>
      <c r="J21" s="2246">
        <v>3</v>
      </c>
      <c r="K21" s="2247"/>
      <c r="L21" s="2246">
        <v>3</v>
      </c>
      <c r="M21" s="2247"/>
      <c r="N21" s="1557"/>
    </row>
    <row r="22" spans="2:14" ht="15" customHeight="1">
      <c r="B22" s="2375" t="s">
        <v>1464</v>
      </c>
      <c r="C22" s="2137"/>
      <c r="D22" s="2246">
        <v>5</v>
      </c>
      <c r="E22" s="2247"/>
      <c r="F22" s="2246">
        <v>4</v>
      </c>
      <c r="G22" s="2247"/>
      <c r="H22" s="2246">
        <v>4</v>
      </c>
      <c r="I22" s="2247"/>
      <c r="J22" s="2246">
        <v>5</v>
      </c>
      <c r="K22" s="2247"/>
      <c r="L22" s="2246">
        <v>2</v>
      </c>
      <c r="M22" s="2247"/>
      <c r="N22" s="1557"/>
    </row>
    <row r="23" spans="2:14" ht="15" customHeight="1">
      <c r="B23" s="2374" t="s">
        <v>1465</v>
      </c>
      <c r="C23" s="2373"/>
      <c r="D23" s="2246">
        <v>4</v>
      </c>
      <c r="E23" s="2247"/>
      <c r="F23" s="2246">
        <v>4</v>
      </c>
      <c r="G23" s="2247"/>
      <c r="H23" s="2246">
        <v>4</v>
      </c>
      <c r="I23" s="2247"/>
      <c r="J23" s="2246">
        <v>4</v>
      </c>
      <c r="K23" s="2247"/>
      <c r="L23" s="2246">
        <v>4</v>
      </c>
      <c r="M23" s="2247"/>
      <c r="N23" s="1557"/>
    </row>
    <row r="24" spans="2:14" ht="15" customHeight="1">
      <c r="B24" s="2374" t="s">
        <v>1466</v>
      </c>
      <c r="C24" s="2373"/>
      <c r="D24" s="2246">
        <v>21</v>
      </c>
      <c r="E24" s="2247"/>
      <c r="F24" s="2246">
        <v>21</v>
      </c>
      <c r="G24" s="2247"/>
      <c r="H24" s="2246">
        <v>19</v>
      </c>
      <c r="I24" s="2247"/>
      <c r="J24" s="2246">
        <v>19</v>
      </c>
      <c r="K24" s="2247"/>
      <c r="L24" s="2246">
        <v>16</v>
      </c>
      <c r="M24" s="2247"/>
      <c r="N24" s="1557"/>
    </row>
    <row r="25" spans="2:14" ht="15" customHeight="1">
      <c r="B25" s="2374" t="s">
        <v>1467</v>
      </c>
      <c r="C25" s="2373"/>
      <c r="D25" s="2246">
        <v>107</v>
      </c>
      <c r="E25" s="2247"/>
      <c r="F25" s="2246">
        <v>108</v>
      </c>
      <c r="G25" s="2247"/>
      <c r="H25" s="2246">
        <v>106</v>
      </c>
      <c r="I25" s="2247"/>
      <c r="J25" s="2246">
        <v>104</v>
      </c>
      <c r="K25" s="2247"/>
      <c r="L25" s="2246">
        <v>107</v>
      </c>
      <c r="M25" s="2247"/>
      <c r="N25" s="1557"/>
    </row>
    <row r="26" spans="2:14" ht="15" customHeight="1">
      <c r="B26" s="2374" t="s">
        <v>1468</v>
      </c>
      <c r="C26" s="2373"/>
      <c r="D26" s="2246">
        <v>6</v>
      </c>
      <c r="E26" s="2247"/>
      <c r="F26" s="2246">
        <v>7</v>
      </c>
      <c r="G26" s="2247"/>
      <c r="H26" s="2246">
        <v>8</v>
      </c>
      <c r="I26" s="2247"/>
      <c r="J26" s="2246">
        <v>6</v>
      </c>
      <c r="K26" s="2247"/>
      <c r="L26" s="2246">
        <v>5</v>
      </c>
      <c r="M26" s="2247"/>
      <c r="N26" s="1557"/>
    </row>
    <row r="27" spans="2:14" ht="15" customHeight="1">
      <c r="B27" s="2374" t="s">
        <v>1469</v>
      </c>
      <c r="C27" s="2373"/>
      <c r="D27" s="2246" t="s">
        <v>1384</v>
      </c>
      <c r="E27" s="2247"/>
      <c r="F27" s="2246" t="s">
        <v>1384</v>
      </c>
      <c r="G27" s="2247"/>
      <c r="H27" s="2246" t="s">
        <v>1384</v>
      </c>
      <c r="I27" s="2247"/>
      <c r="J27" s="2246" t="s">
        <v>1384</v>
      </c>
      <c r="K27" s="2247"/>
      <c r="L27" s="2246" t="s">
        <v>1384</v>
      </c>
      <c r="M27" s="2247"/>
      <c r="N27" s="1557"/>
    </row>
    <row r="28" spans="2:14" ht="15" customHeight="1">
      <c r="B28" s="2374" t="s">
        <v>1470</v>
      </c>
      <c r="C28" s="2373"/>
      <c r="D28" s="2246">
        <v>176</v>
      </c>
      <c r="E28" s="2247"/>
      <c r="F28" s="2246">
        <v>132</v>
      </c>
      <c r="G28" s="2247"/>
      <c r="H28" s="2246">
        <v>151</v>
      </c>
      <c r="I28" s="2247"/>
      <c r="J28" s="2246">
        <v>136</v>
      </c>
      <c r="K28" s="2247"/>
      <c r="L28" s="2246">
        <v>122</v>
      </c>
      <c r="M28" s="2247"/>
      <c r="N28" s="1557"/>
    </row>
    <row r="29" spans="2:14" ht="15" customHeight="1">
      <c r="B29" s="2374" t="s">
        <v>1471</v>
      </c>
      <c r="C29" s="2373"/>
      <c r="D29" s="2246" t="s">
        <v>1384</v>
      </c>
      <c r="E29" s="2247"/>
      <c r="F29" s="2246">
        <v>67</v>
      </c>
      <c r="G29" s="2247"/>
      <c r="H29" s="2246">
        <v>71</v>
      </c>
      <c r="I29" s="2247"/>
      <c r="J29" s="2246">
        <v>64</v>
      </c>
      <c r="K29" s="2247"/>
      <c r="L29" s="2246">
        <v>61</v>
      </c>
      <c r="M29" s="2247"/>
      <c r="N29" s="1557"/>
    </row>
    <row r="30" spans="2:14" ht="15" customHeight="1">
      <c r="B30" s="2374" t="s">
        <v>1472</v>
      </c>
      <c r="C30" s="2373"/>
      <c r="D30" s="2246" t="s">
        <v>1384</v>
      </c>
      <c r="E30" s="2247"/>
      <c r="F30" s="2246" t="s">
        <v>1384</v>
      </c>
      <c r="G30" s="2247"/>
      <c r="H30" s="2246" t="s">
        <v>1384</v>
      </c>
      <c r="I30" s="2247"/>
      <c r="J30" s="2246" t="s">
        <v>1384</v>
      </c>
      <c r="K30" s="2247"/>
      <c r="L30" s="2246" t="s">
        <v>1384</v>
      </c>
      <c r="M30" s="2247"/>
      <c r="N30" s="1557"/>
    </row>
    <row r="31" spans="2:14" ht="15" customHeight="1">
      <c r="B31" s="2372" t="s">
        <v>1473</v>
      </c>
      <c r="C31" s="2373"/>
      <c r="D31" s="2370">
        <v>1364</v>
      </c>
      <c r="E31" s="2371"/>
      <c r="F31" s="2370">
        <v>1265</v>
      </c>
      <c r="G31" s="2371"/>
      <c r="H31" s="2370">
        <v>1432</v>
      </c>
      <c r="I31" s="2371"/>
      <c r="J31" s="2370">
        <v>1525</v>
      </c>
      <c r="K31" s="2371"/>
      <c r="L31" s="2370">
        <v>1482</v>
      </c>
      <c r="M31" s="2371"/>
      <c r="N31" s="1557"/>
    </row>
    <row r="32" spans="2:14" ht="17.45" customHeight="1">
      <c r="B32" s="1946" t="s">
        <v>979</v>
      </c>
      <c r="C32" s="2077"/>
      <c r="D32" s="1946">
        <f>SUM(D20:D31)</f>
        <v>1687</v>
      </c>
      <c r="E32" s="1947"/>
      <c r="F32" s="1946">
        <f>SUM(F20:F31)</f>
        <v>1612</v>
      </c>
      <c r="G32" s="1947"/>
      <c r="H32" s="1946">
        <f>SUM(H20:H31)</f>
        <v>1799</v>
      </c>
      <c r="I32" s="1947"/>
      <c r="J32" s="1946">
        <f>SUM(J20:J31)</f>
        <v>1867</v>
      </c>
      <c r="K32" s="1947"/>
      <c r="L32" s="2077">
        <f>SUM(L20:L31)</f>
        <v>1803</v>
      </c>
      <c r="M32" s="1947"/>
      <c r="N32" s="1557"/>
    </row>
    <row r="33" spans="2:13">
      <c r="B33" s="190"/>
      <c r="C33" s="21"/>
      <c r="D33" s="7"/>
      <c r="E33" s="230"/>
      <c r="F33" s="271"/>
      <c r="G33" s="263"/>
      <c r="M33" s="1103" t="s">
        <v>483</v>
      </c>
    </row>
  </sheetData>
  <mergeCells count="103">
    <mergeCell ref="B10:C10"/>
    <mergeCell ref="B11:C11"/>
    <mergeCell ref="B15:M15"/>
    <mergeCell ref="B16:M16"/>
    <mergeCell ref="F24:G24"/>
    <mergeCell ref="F20:G20"/>
    <mergeCell ref="F21:G21"/>
    <mergeCell ref="H19:I19"/>
    <mergeCell ref="J20:K20"/>
    <mergeCell ref="J21:K21"/>
    <mergeCell ref="L18:M18"/>
    <mergeCell ref="L19:M19"/>
    <mergeCell ref="J18:K18"/>
    <mergeCell ref="J22:K22"/>
    <mergeCell ref="J23:K23"/>
    <mergeCell ref="J24:K24"/>
    <mergeCell ref="H21:I21"/>
    <mergeCell ref="H22:I22"/>
    <mergeCell ref="B1:M1"/>
    <mergeCell ref="B8:C8"/>
    <mergeCell ref="B9:C9"/>
    <mergeCell ref="D4:H4"/>
    <mergeCell ref="I4:M4"/>
    <mergeCell ref="B4:C5"/>
    <mergeCell ref="B6:C6"/>
    <mergeCell ref="B7:C7"/>
    <mergeCell ref="B2:M2"/>
    <mergeCell ref="B32:C32"/>
    <mergeCell ref="B20:C20"/>
    <mergeCell ref="B21:C21"/>
    <mergeCell ref="B22:C22"/>
    <mergeCell ref="B24:C24"/>
    <mergeCell ref="B23:C23"/>
    <mergeCell ref="B18:C18"/>
    <mergeCell ref="L24:M24"/>
    <mergeCell ref="L25:M25"/>
    <mergeCell ref="L26:M26"/>
    <mergeCell ref="D18:E18"/>
    <mergeCell ref="F18:G18"/>
    <mergeCell ref="B19:C19"/>
    <mergeCell ref="D19:E19"/>
    <mergeCell ref="D23:E23"/>
    <mergeCell ref="D24:E24"/>
    <mergeCell ref="D32:E32"/>
    <mergeCell ref="D21:E21"/>
    <mergeCell ref="D22:E22"/>
    <mergeCell ref="D29:E29"/>
    <mergeCell ref="D20:E20"/>
    <mergeCell ref="F19:G19"/>
    <mergeCell ref="J19:K19"/>
    <mergeCell ref="H28:I28"/>
    <mergeCell ref="B31:C31"/>
    <mergeCell ref="D26:E26"/>
    <mergeCell ref="D27:E27"/>
    <mergeCell ref="B30:C30"/>
    <mergeCell ref="F25:G25"/>
    <mergeCell ref="B29:C29"/>
    <mergeCell ref="F26:G26"/>
    <mergeCell ref="F27:G27"/>
    <mergeCell ref="F28:G28"/>
    <mergeCell ref="B25:C25"/>
    <mergeCell ref="B26:C26"/>
    <mergeCell ref="B27:C27"/>
    <mergeCell ref="B28:C28"/>
    <mergeCell ref="D30:E30"/>
    <mergeCell ref="D28:E28"/>
    <mergeCell ref="D31:E31"/>
    <mergeCell ref="D25:E25"/>
    <mergeCell ref="F32:G32"/>
    <mergeCell ref="H18:I18"/>
    <mergeCell ref="H23:I23"/>
    <mergeCell ref="H24:I24"/>
    <mergeCell ref="F31:G31"/>
    <mergeCell ref="F30:G30"/>
    <mergeCell ref="H25:I25"/>
    <mergeCell ref="H26:I26"/>
    <mergeCell ref="H27:I27"/>
    <mergeCell ref="H32:I32"/>
    <mergeCell ref="F29:G29"/>
    <mergeCell ref="F22:G22"/>
    <mergeCell ref="F23:G23"/>
    <mergeCell ref="H30:I30"/>
    <mergeCell ref="H29:I29"/>
    <mergeCell ref="H31:I31"/>
    <mergeCell ref="H20:I20"/>
    <mergeCell ref="J29:K29"/>
    <mergeCell ref="L32:M32"/>
    <mergeCell ref="L20:M20"/>
    <mergeCell ref="L21:M21"/>
    <mergeCell ref="L22:M22"/>
    <mergeCell ref="L23:M23"/>
    <mergeCell ref="L27:M27"/>
    <mergeCell ref="L28:M28"/>
    <mergeCell ref="L29:M29"/>
    <mergeCell ref="L30:M30"/>
    <mergeCell ref="L31:M31"/>
    <mergeCell ref="J25:K25"/>
    <mergeCell ref="J26:K26"/>
    <mergeCell ref="J27:K27"/>
    <mergeCell ref="J32:K32"/>
    <mergeCell ref="J28:K28"/>
    <mergeCell ref="J30:K30"/>
    <mergeCell ref="J31:K31"/>
  </mergeCells>
  <phoneticPr fontId="0" type="noConversion"/>
  <pageMargins left="0.1" right="0.1" top="0.76" bottom="0.22" header="0.6" footer="0.1"/>
  <pageSetup paperSize="9" orientation="landscape" blackAndWhite="1" r:id="rId1"/>
  <headerFooter alignWithMargins="0"/>
</worksheet>
</file>

<file path=xl/worksheets/sheet75.xml><?xml version="1.0" encoding="utf-8"?>
<worksheet xmlns="http://schemas.openxmlformats.org/spreadsheetml/2006/main" xmlns:r="http://schemas.openxmlformats.org/officeDocument/2006/relationships">
  <dimension ref="A1:N23"/>
  <sheetViews>
    <sheetView workbookViewId="0">
      <selection activeCell="A14" sqref="A14"/>
    </sheetView>
  </sheetViews>
  <sheetFormatPr defaultRowHeight="12.75"/>
  <cols>
    <col min="1" max="1" width="12.140625" customWidth="1"/>
    <col min="2" max="2" width="13" customWidth="1"/>
    <col min="3" max="3" width="9.7109375" customWidth="1"/>
    <col min="4" max="4" width="8" customWidth="1"/>
    <col min="5" max="5" width="10.7109375" customWidth="1"/>
    <col min="6" max="6" width="7.7109375" customWidth="1"/>
    <col min="7" max="7" width="10.7109375" customWidth="1"/>
    <col min="8" max="8" width="7.85546875" customWidth="1"/>
    <col min="9" max="9" width="10.7109375" customWidth="1"/>
    <col min="10" max="10" width="7.85546875" customWidth="1"/>
    <col min="11" max="11" width="11.140625" customWidth="1"/>
    <col min="12" max="12" width="7.85546875" customWidth="1"/>
    <col min="13" max="13" width="10.7109375" customWidth="1"/>
  </cols>
  <sheetData>
    <row r="1" spans="1:14" ht="15.75" customHeight="1">
      <c r="A1" s="1825" t="s">
        <v>702</v>
      </c>
      <c r="B1" s="1825"/>
      <c r="C1" s="1825"/>
      <c r="D1" s="1825"/>
      <c r="E1" s="1825"/>
      <c r="F1" s="1825"/>
      <c r="G1" s="1825"/>
      <c r="H1" s="1825"/>
      <c r="I1" s="1825"/>
      <c r="J1" s="1825"/>
      <c r="K1" s="1825"/>
      <c r="L1" s="1825"/>
      <c r="M1" s="1825"/>
    </row>
    <row r="2" spans="1:14" ht="18.75" customHeight="1">
      <c r="A2" s="1835" t="str">
        <f>CONCATENATE("Population, Receipt &amp; Expenditure of Municipalities in the district of ",District!$A$1)</f>
        <v>Population, Receipt &amp; Expenditure of Municipalities in the district of Purba Medinipur</v>
      </c>
      <c r="B2" s="1835"/>
      <c r="C2" s="1835"/>
      <c r="D2" s="1835"/>
      <c r="E2" s="1835"/>
      <c r="F2" s="1835"/>
      <c r="G2" s="1835"/>
      <c r="H2" s="1835"/>
      <c r="I2" s="1835"/>
      <c r="J2" s="1835"/>
      <c r="K2" s="1835"/>
      <c r="L2" s="1835"/>
      <c r="M2" s="1835"/>
    </row>
    <row r="3" spans="1:14" ht="15" customHeight="1">
      <c r="A3" s="483"/>
      <c r="B3" s="483"/>
      <c r="C3" s="483"/>
      <c r="D3" s="433"/>
      <c r="E3" s="433"/>
      <c r="F3" s="433"/>
      <c r="G3" s="433"/>
      <c r="H3" s="433"/>
      <c r="I3" s="433"/>
      <c r="J3" s="2093" t="s">
        <v>595</v>
      </c>
      <c r="K3" s="2093"/>
      <c r="L3" s="2093"/>
      <c r="M3" s="2093"/>
    </row>
    <row r="4" spans="1:14" ht="18" customHeight="1">
      <c r="A4" s="1833" t="s">
        <v>240</v>
      </c>
      <c r="B4" s="1931" t="s">
        <v>235</v>
      </c>
      <c r="C4" s="1931" t="s">
        <v>651</v>
      </c>
      <c r="D4" s="1829" t="s">
        <v>1356</v>
      </c>
      <c r="E4" s="1828"/>
      <c r="F4" s="1829" t="s">
        <v>306</v>
      </c>
      <c r="G4" s="1828"/>
      <c r="H4" s="1829" t="s">
        <v>1357</v>
      </c>
      <c r="I4" s="1828"/>
      <c r="J4" s="1829" t="s">
        <v>628</v>
      </c>
      <c r="K4" s="1828"/>
      <c r="L4" s="1829" t="s">
        <v>1639</v>
      </c>
      <c r="M4" s="1828"/>
    </row>
    <row r="5" spans="1:14" ht="18" customHeight="1">
      <c r="A5" s="1834"/>
      <c r="B5" s="1868"/>
      <c r="C5" s="1868"/>
      <c r="D5" s="156" t="s">
        <v>1478</v>
      </c>
      <c r="E5" s="198" t="s">
        <v>1612</v>
      </c>
      <c r="F5" s="156" t="s">
        <v>1478</v>
      </c>
      <c r="G5" s="198" t="s">
        <v>1612</v>
      </c>
      <c r="H5" s="156" t="s">
        <v>1478</v>
      </c>
      <c r="I5" s="198" t="s">
        <v>1612</v>
      </c>
      <c r="J5" s="156" t="s">
        <v>1478</v>
      </c>
      <c r="K5" s="403" t="s">
        <v>1612</v>
      </c>
      <c r="L5" s="156" t="s">
        <v>1478</v>
      </c>
      <c r="M5" s="403" t="s">
        <v>1612</v>
      </c>
    </row>
    <row r="6" spans="1:14" ht="16.5" customHeight="1">
      <c r="A6" s="134" t="s">
        <v>955</v>
      </c>
      <c r="B6" s="136" t="s">
        <v>956</v>
      </c>
      <c r="C6" s="136" t="s">
        <v>957</v>
      </c>
      <c r="D6" s="135" t="s">
        <v>958</v>
      </c>
      <c r="E6" s="136" t="s">
        <v>959</v>
      </c>
      <c r="F6" s="137" t="s">
        <v>961</v>
      </c>
      <c r="G6" s="136" t="s">
        <v>962</v>
      </c>
      <c r="H6" s="137" t="s">
        <v>990</v>
      </c>
      <c r="I6" s="136" t="s">
        <v>991</v>
      </c>
      <c r="J6" s="137" t="s">
        <v>992</v>
      </c>
      <c r="K6" s="136" t="s">
        <v>993</v>
      </c>
      <c r="L6" s="191" t="s">
        <v>1046</v>
      </c>
      <c r="M6" s="192" t="s">
        <v>1048</v>
      </c>
    </row>
    <row r="7" spans="1:14" ht="33" customHeight="1">
      <c r="A7" s="277" t="s">
        <v>200</v>
      </c>
      <c r="B7" s="577" t="s">
        <v>722</v>
      </c>
      <c r="C7" s="102">
        <v>65306</v>
      </c>
      <c r="D7" s="1503">
        <v>182390</v>
      </c>
      <c r="E7" s="1504">
        <v>152953</v>
      </c>
      <c r="F7" s="434">
        <v>212021</v>
      </c>
      <c r="G7" s="833">
        <v>210794</v>
      </c>
      <c r="H7" s="1503">
        <v>151280</v>
      </c>
      <c r="I7" s="1504">
        <v>146389</v>
      </c>
      <c r="J7" s="434">
        <v>220491</v>
      </c>
      <c r="K7" s="833">
        <v>153747</v>
      </c>
      <c r="L7" s="434">
        <v>185021</v>
      </c>
      <c r="M7" s="833">
        <v>231184</v>
      </c>
      <c r="N7" s="104"/>
    </row>
    <row r="8" spans="1:14" ht="33" customHeight="1">
      <c r="A8" s="278" t="s">
        <v>1142</v>
      </c>
      <c r="B8" s="578" t="s">
        <v>723</v>
      </c>
      <c r="C8" s="120">
        <v>200827</v>
      </c>
      <c r="D8" s="1503">
        <v>545637</v>
      </c>
      <c r="E8" s="1504">
        <v>473741</v>
      </c>
      <c r="F8" s="434">
        <v>534226</v>
      </c>
      <c r="G8" s="1504">
        <v>549395</v>
      </c>
      <c r="H8" s="1503">
        <v>555740</v>
      </c>
      <c r="I8" s="1504">
        <v>536144</v>
      </c>
      <c r="J8" s="434">
        <v>446040</v>
      </c>
      <c r="K8" s="1504">
        <v>480537</v>
      </c>
      <c r="L8" s="434">
        <v>487274</v>
      </c>
      <c r="M8" s="424">
        <v>499095</v>
      </c>
      <c r="N8" s="104"/>
    </row>
    <row r="9" spans="1:14" ht="33" customHeight="1">
      <c r="A9" s="278" t="s">
        <v>1263</v>
      </c>
      <c r="B9" s="578" t="s">
        <v>724</v>
      </c>
      <c r="C9" s="110">
        <v>30148</v>
      </c>
      <c r="D9" s="1503">
        <v>50927</v>
      </c>
      <c r="E9" s="1504">
        <v>64327</v>
      </c>
      <c r="F9" s="434">
        <v>95678</v>
      </c>
      <c r="G9" s="1504">
        <v>96090</v>
      </c>
      <c r="H9" s="1503">
        <v>126006</v>
      </c>
      <c r="I9" s="1504">
        <v>107714</v>
      </c>
      <c r="J9" s="434">
        <v>143857</v>
      </c>
      <c r="K9" s="1504">
        <v>117359</v>
      </c>
      <c r="L9" s="434">
        <v>171672</v>
      </c>
      <c r="M9" s="424">
        <v>158838</v>
      </c>
      <c r="N9" s="104"/>
    </row>
    <row r="10" spans="1:14" ht="33" customHeight="1">
      <c r="A10" s="278" t="s">
        <v>1264</v>
      </c>
      <c r="B10" s="578" t="s">
        <v>241</v>
      </c>
      <c r="C10" s="102">
        <v>92226</v>
      </c>
      <c r="D10" s="1503">
        <v>136950</v>
      </c>
      <c r="E10" s="1504">
        <v>210497</v>
      </c>
      <c r="F10" s="434">
        <v>179551</v>
      </c>
      <c r="G10" s="1504">
        <v>128972</v>
      </c>
      <c r="H10" s="1503">
        <v>230584</v>
      </c>
      <c r="I10" s="1504">
        <v>194761</v>
      </c>
      <c r="J10" s="434">
        <v>200311</v>
      </c>
      <c r="K10" s="1504">
        <v>190447</v>
      </c>
      <c r="L10" s="434">
        <v>258768</v>
      </c>
      <c r="M10" s="424">
        <v>232620</v>
      </c>
      <c r="N10" s="104"/>
    </row>
    <row r="11" spans="1:14" ht="33" customHeight="1">
      <c r="A11" s="283" t="s">
        <v>1265</v>
      </c>
      <c r="B11" s="585" t="s">
        <v>725</v>
      </c>
      <c r="C11" s="111">
        <v>57932</v>
      </c>
      <c r="D11" s="832">
        <v>59997</v>
      </c>
      <c r="E11" s="834">
        <v>83664</v>
      </c>
      <c r="F11" s="832">
        <v>80800</v>
      </c>
      <c r="G11" s="834">
        <v>72882</v>
      </c>
      <c r="H11" s="832">
        <v>92588</v>
      </c>
      <c r="I11" s="834">
        <v>54245</v>
      </c>
      <c r="J11" s="832">
        <v>116736</v>
      </c>
      <c r="K11" s="834">
        <v>95101</v>
      </c>
      <c r="L11" s="832">
        <v>232027</v>
      </c>
      <c r="M11" s="834">
        <v>129267</v>
      </c>
      <c r="N11" s="104"/>
    </row>
    <row r="12" spans="1:14">
      <c r="E12" s="29"/>
      <c r="F12" s="328"/>
      <c r="G12" s="328"/>
      <c r="H12" s="319"/>
      <c r="I12" s="319"/>
      <c r="J12" s="319"/>
      <c r="K12" s="319"/>
      <c r="L12" s="319"/>
      <c r="M12" s="1063" t="str">
        <f>CONCATENATE("Source : Chairman of all Municipalities, ",District!$A$1)</f>
        <v>Source : Chairman of all Municipalities, Purba Medinipur</v>
      </c>
    </row>
    <row r="13" spans="1:14">
      <c r="E13" s="15"/>
      <c r="F13" s="331"/>
      <c r="G13" s="331"/>
      <c r="H13" s="319"/>
      <c r="I13" s="319"/>
      <c r="J13" s="319"/>
      <c r="K13" s="319"/>
      <c r="L13" s="319"/>
      <c r="M13" s="1063"/>
    </row>
    <row r="14" spans="1:14">
      <c r="E14" s="15"/>
      <c r="F14" s="331"/>
      <c r="G14" s="331"/>
      <c r="H14" s="319"/>
      <c r="I14" s="319"/>
      <c r="J14" s="319"/>
      <c r="K14" s="319"/>
      <c r="L14" s="319"/>
      <c r="M14" s="1063"/>
    </row>
    <row r="16" spans="1:14" ht="16.5" customHeight="1">
      <c r="A16" s="1825" t="s">
        <v>707</v>
      </c>
      <c r="B16" s="1825"/>
      <c r="C16" s="1825"/>
      <c r="D16" s="1825"/>
      <c r="E16" s="1825"/>
      <c r="F16" s="1825"/>
      <c r="G16" s="1825"/>
      <c r="H16" s="1825"/>
      <c r="I16" s="1825"/>
      <c r="J16" s="1825"/>
      <c r="K16" s="1825"/>
      <c r="L16" s="1825"/>
      <c r="M16" s="1825"/>
    </row>
    <row r="17" spans="1:13" ht="17.25" customHeight="1">
      <c r="A17" s="1835" t="str">
        <f>CONCATENATE("Receipt &amp; Expenditure of ",District!$A$1," Zilla Parishad")</f>
        <v>Receipt &amp; Expenditure of Purba Medinipur Zilla Parishad</v>
      </c>
      <c r="B17" s="1835"/>
      <c r="C17" s="1835"/>
      <c r="D17" s="1835"/>
      <c r="E17" s="1835"/>
      <c r="F17" s="1835"/>
      <c r="G17" s="1835"/>
      <c r="H17" s="1835"/>
      <c r="I17" s="1835"/>
      <c r="J17" s="1835"/>
      <c r="K17" s="1835"/>
      <c r="L17" s="1835"/>
      <c r="M17" s="1835"/>
    </row>
    <row r="18" spans="1:13" ht="14.25" customHeight="1">
      <c r="A18" s="483"/>
      <c r="B18" s="483"/>
      <c r="C18" s="483"/>
      <c r="D18" s="433"/>
      <c r="E18" s="433"/>
      <c r="F18" s="433"/>
      <c r="G18" s="433"/>
      <c r="H18" s="433"/>
      <c r="I18" s="433"/>
      <c r="J18" s="2093" t="s">
        <v>595</v>
      </c>
      <c r="K18" s="2093"/>
      <c r="L18" s="2093"/>
      <c r="M18" s="2093"/>
    </row>
    <row r="19" spans="1:13" ht="24.75" customHeight="1">
      <c r="A19" s="1833" t="s">
        <v>387</v>
      </c>
      <c r="B19" s="1929" t="s">
        <v>386</v>
      </c>
      <c r="C19" s="1931"/>
      <c r="D19" s="1829" t="s">
        <v>1356</v>
      </c>
      <c r="E19" s="1828"/>
      <c r="F19" s="1829" t="s">
        <v>306</v>
      </c>
      <c r="G19" s="1828"/>
      <c r="H19" s="1829" t="s">
        <v>1357</v>
      </c>
      <c r="I19" s="1828"/>
      <c r="J19" s="1829" t="s">
        <v>628</v>
      </c>
      <c r="K19" s="1828"/>
      <c r="L19" s="1829" t="s">
        <v>1639</v>
      </c>
      <c r="M19" s="1828"/>
    </row>
    <row r="20" spans="1:13" ht="25.5" customHeight="1">
      <c r="A20" s="1834"/>
      <c r="B20" s="1932"/>
      <c r="C20" s="1868"/>
      <c r="D20" s="413" t="s">
        <v>1478</v>
      </c>
      <c r="E20" s="403" t="s">
        <v>1612</v>
      </c>
      <c r="F20" s="413" t="s">
        <v>1478</v>
      </c>
      <c r="G20" s="403" t="s">
        <v>1612</v>
      </c>
      <c r="H20" s="413" t="s">
        <v>1478</v>
      </c>
      <c r="I20" s="403" t="s">
        <v>1612</v>
      </c>
      <c r="J20" s="413" t="s">
        <v>1478</v>
      </c>
      <c r="K20" s="403" t="s">
        <v>1612</v>
      </c>
      <c r="L20" s="413" t="s">
        <v>1478</v>
      </c>
      <c r="M20" s="403" t="s">
        <v>1612</v>
      </c>
    </row>
    <row r="21" spans="1:13" ht="17.25" customHeight="1">
      <c r="A21" s="134" t="s">
        <v>955</v>
      </c>
      <c r="B21" s="2094" t="s">
        <v>956</v>
      </c>
      <c r="C21" s="2099"/>
      <c r="D21" s="135" t="s">
        <v>957</v>
      </c>
      <c r="E21" s="136" t="s">
        <v>958</v>
      </c>
      <c r="F21" s="135" t="s">
        <v>959</v>
      </c>
      <c r="G21" s="136" t="s">
        <v>961</v>
      </c>
      <c r="H21" s="135" t="s">
        <v>962</v>
      </c>
      <c r="I21" s="136" t="s">
        <v>990</v>
      </c>
      <c r="J21" s="137" t="s">
        <v>991</v>
      </c>
      <c r="K21" s="136" t="s">
        <v>992</v>
      </c>
      <c r="L21" s="137" t="s">
        <v>993</v>
      </c>
      <c r="M21" s="192" t="s">
        <v>1046</v>
      </c>
    </row>
    <row r="22" spans="1:13" ht="49.5" customHeight="1">
      <c r="A22" s="1263" t="s">
        <v>388</v>
      </c>
      <c r="B22" s="2376" t="s">
        <v>242</v>
      </c>
      <c r="C22" s="2377"/>
      <c r="D22" s="52">
        <v>2232541</v>
      </c>
      <c r="E22" s="50">
        <v>206428</v>
      </c>
      <c r="F22" s="52">
        <v>1927450</v>
      </c>
      <c r="G22" s="50">
        <v>1918615</v>
      </c>
      <c r="H22" s="52">
        <v>2626517</v>
      </c>
      <c r="I22" s="50">
        <v>2512375</v>
      </c>
      <c r="J22" s="52">
        <v>3046802</v>
      </c>
      <c r="K22" s="50">
        <v>3041911</v>
      </c>
      <c r="L22" s="52">
        <v>3697828</v>
      </c>
      <c r="M22" s="50">
        <v>3425996</v>
      </c>
    </row>
    <row r="23" spans="1:13" ht="14.25" customHeight="1">
      <c r="A23" s="236"/>
      <c r="M23" s="1063" t="str">
        <f>CONCATENATE("Source : Zilla Parishad, ",District!$A$1)</f>
        <v>Source : Zilla Parishad, Purba Medinipur</v>
      </c>
    </row>
  </sheetData>
  <mergeCells count="23">
    <mergeCell ref="B22:C22"/>
    <mergeCell ref="A17:M17"/>
    <mergeCell ref="A19:A20"/>
    <mergeCell ref="J19:K19"/>
    <mergeCell ref="B21:C21"/>
    <mergeCell ref="B19:C20"/>
    <mergeCell ref="L19:M19"/>
    <mergeCell ref="D19:E19"/>
    <mergeCell ref="F19:G19"/>
    <mergeCell ref="H19:I19"/>
    <mergeCell ref="J18:M18"/>
    <mergeCell ref="A1:M1"/>
    <mergeCell ref="A2:M2"/>
    <mergeCell ref="B4:B5"/>
    <mergeCell ref="J3:M3"/>
    <mergeCell ref="A4:A5"/>
    <mergeCell ref="J4:K4"/>
    <mergeCell ref="A16:M16"/>
    <mergeCell ref="C4:C5"/>
    <mergeCell ref="D4:E4"/>
    <mergeCell ref="F4:G4"/>
    <mergeCell ref="L4:M4"/>
    <mergeCell ref="H4:I4"/>
  </mergeCells>
  <phoneticPr fontId="0" type="noConversion"/>
  <printOptions horizontalCentered="1"/>
  <pageMargins left="0.1" right="0.1" top="0.82" bottom="0.1" header="0.78" footer="0.1"/>
  <pageSetup paperSize="9" orientation="landscape" blackAndWhite="1" r:id="rId1"/>
  <headerFooter alignWithMargins="0"/>
</worksheet>
</file>

<file path=xl/worksheets/sheet76.xml><?xml version="1.0" encoding="utf-8"?>
<worksheet xmlns="http://schemas.openxmlformats.org/spreadsheetml/2006/main" xmlns:r="http://schemas.openxmlformats.org/officeDocument/2006/relationships">
  <dimension ref="A1:L17"/>
  <sheetViews>
    <sheetView workbookViewId="0">
      <selection activeCell="O17" sqref="O17"/>
    </sheetView>
  </sheetViews>
  <sheetFormatPr defaultRowHeight="12.75"/>
  <cols>
    <col min="1" max="1" width="14" customWidth="1"/>
    <col min="2" max="2" width="9.28515625" customWidth="1"/>
    <col min="3" max="3" width="12.42578125" customWidth="1"/>
    <col min="4" max="4" width="10.28515625" customWidth="1"/>
    <col min="5" max="5" width="9.5703125" customWidth="1"/>
    <col min="6" max="6" width="11" customWidth="1"/>
    <col min="7" max="7" width="11.42578125" customWidth="1"/>
    <col min="8" max="8" width="11" customWidth="1"/>
    <col min="9" max="10" width="10.85546875" customWidth="1"/>
    <col min="11" max="11" width="10.42578125" customWidth="1"/>
    <col min="12" max="12" width="11" customWidth="1"/>
  </cols>
  <sheetData>
    <row r="1" spans="1:12" ht="14.25" customHeight="1">
      <c r="A1" s="1825" t="s">
        <v>701</v>
      </c>
      <c r="B1" s="1825"/>
      <c r="C1" s="1825"/>
      <c r="D1" s="1825"/>
      <c r="E1" s="1825"/>
      <c r="F1" s="1825"/>
      <c r="G1" s="1825"/>
      <c r="H1" s="1825"/>
      <c r="I1" s="1825"/>
      <c r="J1" s="1825"/>
      <c r="K1" s="1825"/>
      <c r="L1" s="1825"/>
    </row>
    <row r="2" spans="1:12" ht="17.25" customHeight="1">
      <c r="A2" s="1857" t="str">
        <f>CONCATENATE("Revenue collected from different sources in the district of ",District!A1)</f>
        <v>Revenue collected from different sources in the district of Purba Medinipur</v>
      </c>
      <c r="B2" s="1857"/>
      <c r="C2" s="1857"/>
      <c r="D2" s="1857"/>
      <c r="E2" s="1857"/>
      <c r="F2" s="1857"/>
      <c r="G2" s="1857"/>
      <c r="H2" s="1857"/>
      <c r="I2" s="1857"/>
      <c r="J2" s="1857"/>
      <c r="K2" s="1857"/>
      <c r="L2" s="1857"/>
    </row>
    <row r="3" spans="1:12" ht="13.5" customHeight="1">
      <c r="B3" s="4"/>
      <c r="C3" s="4"/>
      <c r="D3" s="4"/>
      <c r="E3" s="4"/>
      <c r="F3" s="4"/>
      <c r="G3" s="4"/>
      <c r="H3" s="4"/>
      <c r="I3" s="4"/>
      <c r="J3" s="4"/>
      <c r="K3" s="4"/>
      <c r="L3" s="194" t="s">
        <v>595</v>
      </c>
    </row>
    <row r="4" spans="1:12" s="11" customFormat="1" ht="51.75" customHeight="1">
      <c r="A4" s="405" t="s">
        <v>899</v>
      </c>
      <c r="B4" s="404" t="s">
        <v>1256</v>
      </c>
      <c r="C4" s="356" t="s">
        <v>390</v>
      </c>
      <c r="D4" s="936" t="s">
        <v>1255</v>
      </c>
      <c r="E4" s="356" t="s">
        <v>1254</v>
      </c>
      <c r="F4" s="936" t="s">
        <v>1253</v>
      </c>
      <c r="G4" s="356" t="s">
        <v>250</v>
      </c>
      <c r="H4" s="936" t="s">
        <v>1252</v>
      </c>
      <c r="I4" s="356" t="s">
        <v>389</v>
      </c>
      <c r="J4" s="936" t="s">
        <v>251</v>
      </c>
      <c r="K4" s="356" t="s">
        <v>1257</v>
      </c>
      <c r="L4" s="356" t="s">
        <v>979</v>
      </c>
    </row>
    <row r="5" spans="1:12" s="11" customFormat="1" ht="19.5" customHeight="1">
      <c r="A5" s="137" t="s">
        <v>955</v>
      </c>
      <c r="B5" s="269" t="s">
        <v>956</v>
      </c>
      <c r="C5" s="209" t="s">
        <v>957</v>
      </c>
      <c r="D5" s="270" t="s">
        <v>958</v>
      </c>
      <c r="E5" s="209" t="s">
        <v>959</v>
      </c>
      <c r="F5" s="270" t="s">
        <v>961</v>
      </c>
      <c r="G5" s="209" t="s">
        <v>962</v>
      </c>
      <c r="H5" s="270" t="s">
        <v>990</v>
      </c>
      <c r="I5" s="209" t="s">
        <v>991</v>
      </c>
      <c r="J5" s="270" t="s">
        <v>992</v>
      </c>
      <c r="K5" s="209" t="s">
        <v>993</v>
      </c>
      <c r="L5" s="209" t="s">
        <v>1046</v>
      </c>
    </row>
    <row r="6" spans="1:12" ht="60" customHeight="1">
      <c r="A6" s="277" t="s">
        <v>1356</v>
      </c>
      <c r="B6" s="1502">
        <v>96323</v>
      </c>
      <c r="C6" s="1505">
        <v>697720</v>
      </c>
      <c r="D6" s="1502">
        <v>15146</v>
      </c>
      <c r="E6" s="1505">
        <v>414701</v>
      </c>
      <c r="F6" s="1502">
        <v>227895</v>
      </c>
      <c r="G6" s="1505">
        <v>6193</v>
      </c>
      <c r="H6" s="967">
        <v>190921</v>
      </c>
      <c r="I6" s="1475" t="s">
        <v>918</v>
      </c>
      <c r="J6" s="967">
        <v>96616</v>
      </c>
      <c r="K6" s="1008">
        <v>134</v>
      </c>
      <c r="L6" s="738">
        <f>SUM(B6:K6)</f>
        <v>1745649</v>
      </c>
    </row>
    <row r="7" spans="1:12" ht="60" customHeight="1">
      <c r="A7" s="1402" t="s">
        <v>306</v>
      </c>
      <c r="B7" s="1502">
        <v>157562</v>
      </c>
      <c r="C7" s="1505">
        <v>829024</v>
      </c>
      <c r="D7" s="1502">
        <v>30666</v>
      </c>
      <c r="E7" s="1505">
        <v>404168</v>
      </c>
      <c r="F7" s="1502">
        <v>285582</v>
      </c>
      <c r="G7" s="1505">
        <v>7166</v>
      </c>
      <c r="H7" s="967">
        <v>258260</v>
      </c>
      <c r="I7" s="1475" t="s">
        <v>918</v>
      </c>
      <c r="J7" s="967">
        <v>101997</v>
      </c>
      <c r="K7" s="1008">
        <v>219</v>
      </c>
      <c r="L7" s="738">
        <f t="shared" ref="L7:L10" si="0">SUM(B7:K7)</f>
        <v>2074644</v>
      </c>
    </row>
    <row r="8" spans="1:12" ht="60" customHeight="1">
      <c r="A8" s="1402" t="s">
        <v>1357</v>
      </c>
      <c r="B8" s="1502">
        <v>136461</v>
      </c>
      <c r="C8" s="1505">
        <v>936990</v>
      </c>
      <c r="D8" s="1502">
        <v>20167</v>
      </c>
      <c r="E8" s="1505">
        <v>469862</v>
      </c>
      <c r="F8" s="1502">
        <v>330283</v>
      </c>
      <c r="G8" s="1505">
        <v>8660</v>
      </c>
      <c r="H8" s="967">
        <v>250680</v>
      </c>
      <c r="I8" s="1475" t="s">
        <v>918</v>
      </c>
      <c r="J8" s="967">
        <v>108466</v>
      </c>
      <c r="K8" s="1008">
        <v>1074</v>
      </c>
      <c r="L8" s="738">
        <f t="shared" si="0"/>
        <v>2262643</v>
      </c>
    </row>
    <row r="9" spans="1:12" ht="60" customHeight="1">
      <c r="A9" s="1402" t="s">
        <v>628</v>
      </c>
      <c r="B9" s="1502">
        <v>161302</v>
      </c>
      <c r="C9" s="1505">
        <v>1081937</v>
      </c>
      <c r="D9" s="1502">
        <v>18865</v>
      </c>
      <c r="E9" s="1505">
        <v>517861</v>
      </c>
      <c r="F9" s="1502">
        <v>423097</v>
      </c>
      <c r="G9" s="1505">
        <v>13633</v>
      </c>
      <c r="H9" s="967">
        <v>218990</v>
      </c>
      <c r="I9" s="1475" t="s">
        <v>918</v>
      </c>
      <c r="J9" s="967">
        <v>107868</v>
      </c>
      <c r="K9" s="1008">
        <v>716</v>
      </c>
      <c r="L9" s="738">
        <f t="shared" si="0"/>
        <v>2544269</v>
      </c>
    </row>
    <row r="10" spans="1:12" ht="60" customHeight="1">
      <c r="A10" s="1403" t="s">
        <v>1639</v>
      </c>
      <c r="B10" s="116">
        <v>298735</v>
      </c>
      <c r="C10" s="111">
        <v>1208853</v>
      </c>
      <c r="D10" s="111">
        <v>157255</v>
      </c>
      <c r="E10" s="111">
        <v>1825308</v>
      </c>
      <c r="F10" s="111">
        <v>589016</v>
      </c>
      <c r="G10" s="111">
        <v>16764</v>
      </c>
      <c r="H10" s="835">
        <v>221989</v>
      </c>
      <c r="I10" s="1476" t="s">
        <v>1384</v>
      </c>
      <c r="J10" s="835">
        <v>104209</v>
      </c>
      <c r="K10" s="835">
        <v>171</v>
      </c>
      <c r="L10" s="1523">
        <f t="shared" si="0"/>
        <v>4422300</v>
      </c>
    </row>
    <row r="11" spans="1:12" ht="15.75" customHeight="1">
      <c r="H11" s="3"/>
      <c r="L11" s="1103" t="s">
        <v>840</v>
      </c>
    </row>
    <row r="12" spans="1:12">
      <c r="A12" s="1819"/>
    </row>
    <row r="13" spans="1:12" ht="12.75" hidden="1" customHeight="1">
      <c r="A13" s="1819"/>
    </row>
    <row r="14" spans="1:12" ht="12.75" hidden="1" customHeight="1">
      <c r="A14" s="1819"/>
    </row>
    <row r="15" spans="1:12" ht="12.75" hidden="1" customHeight="1">
      <c r="A15" s="1819"/>
    </row>
    <row r="16" spans="1:12" ht="12.75" hidden="1" customHeight="1">
      <c r="A16" s="1819"/>
    </row>
    <row r="17" spans="1:1">
      <c r="A17" s="1819"/>
    </row>
  </sheetData>
  <mergeCells count="3">
    <mergeCell ref="A12:A17"/>
    <mergeCell ref="A1:L1"/>
    <mergeCell ref="A2:L2"/>
  </mergeCells>
  <phoneticPr fontId="0" type="noConversion"/>
  <printOptions horizontalCentered="1"/>
  <pageMargins left="0.27" right="0.33" top="1.08" bottom="0.1" header="0.78" footer="0.1"/>
  <pageSetup paperSize="9" orientation="landscape" blackAndWhite="1" r:id="rId1"/>
  <headerFooter alignWithMargins="0"/>
</worksheet>
</file>

<file path=xl/worksheets/sheet77.xml><?xml version="1.0" encoding="utf-8"?>
<worksheet xmlns="http://schemas.openxmlformats.org/spreadsheetml/2006/main" xmlns:r="http://schemas.openxmlformats.org/officeDocument/2006/relationships">
  <sheetPr codeName="Sheet41"/>
  <dimension ref="A1:D50"/>
  <sheetViews>
    <sheetView workbookViewId="0">
      <selection activeCell="C52" sqref="C52"/>
    </sheetView>
  </sheetViews>
  <sheetFormatPr defaultRowHeight="12.4" customHeight="1"/>
  <cols>
    <col min="1" max="2" width="36.7109375" customWidth="1"/>
    <col min="3" max="3" width="16.7109375" customWidth="1"/>
    <col min="4" max="4" width="14.140625" customWidth="1"/>
  </cols>
  <sheetData>
    <row r="1" spans="1:4" ht="16.5" customHeight="1">
      <c r="A1" s="1825" t="s">
        <v>700</v>
      </c>
      <c r="B1" s="1825"/>
    </row>
    <row r="2" spans="1:4" ht="34.5" customHeight="1">
      <c r="A2" s="1857" t="str">
        <f>CONCATENATE("Net Collection from Small Savings 
in the district of ",District!$A$1)</f>
        <v>Net Collection from Small Savings 
in the district of Purba Medinipur</v>
      </c>
      <c r="B2" s="1857"/>
      <c r="C2" s="27"/>
    </row>
    <row r="3" spans="1:4" ht="15.95" customHeight="1">
      <c r="B3" s="194" t="s">
        <v>595</v>
      </c>
    </row>
    <row r="4" spans="1:4" ht="13.5" customHeight="1">
      <c r="A4" s="1755" t="s">
        <v>899</v>
      </c>
      <c r="B4" s="1752" t="s">
        <v>787</v>
      </c>
    </row>
    <row r="5" spans="1:4" ht="13.5" customHeight="1">
      <c r="A5" s="269" t="s">
        <v>955</v>
      </c>
      <c r="B5" s="209" t="s">
        <v>956</v>
      </c>
    </row>
    <row r="6" spans="1:4" ht="16.5" customHeight="1">
      <c r="A6" s="1753" t="s">
        <v>1356</v>
      </c>
      <c r="B6" s="1759">
        <v>2005580</v>
      </c>
    </row>
    <row r="7" spans="1:4" ht="16.5" customHeight="1">
      <c r="A7" s="1753" t="s">
        <v>306</v>
      </c>
      <c r="B7" s="1759">
        <v>2650300</v>
      </c>
    </row>
    <row r="8" spans="1:4" ht="16.5" customHeight="1">
      <c r="A8" s="1753" t="s">
        <v>1357</v>
      </c>
      <c r="B8" s="1759">
        <v>2373874</v>
      </c>
    </row>
    <row r="9" spans="1:4" ht="16.5" customHeight="1">
      <c r="A9" s="1753" t="s">
        <v>628</v>
      </c>
      <c r="B9" s="1759">
        <v>2420361</v>
      </c>
    </row>
    <row r="10" spans="1:4" ht="16.5" customHeight="1">
      <c r="A10" s="1754" t="s">
        <v>1639</v>
      </c>
      <c r="B10" s="1758">
        <f>SUM(B12,B22,B29,B36)</f>
        <v>4492480</v>
      </c>
    </row>
    <row r="11" spans="1:4" ht="14.25" customHeight="1">
      <c r="A11" s="1756" t="s">
        <v>180</v>
      </c>
      <c r="B11" s="1769" t="str">
        <f>"Year : "  &amp; A10</f>
        <v>Year : 2013-14</v>
      </c>
      <c r="C11" s="1742"/>
      <c r="D11" s="1742"/>
    </row>
    <row r="12" spans="1:4" ht="16.5" customHeight="1">
      <c r="A12" s="633" t="s">
        <v>1267</v>
      </c>
      <c r="B12" s="388">
        <f>SUM(B13:B21)</f>
        <v>1692189</v>
      </c>
      <c r="C12" s="1743"/>
      <c r="D12" s="1743"/>
    </row>
    <row r="13" spans="1:4" ht="16.5" customHeight="1">
      <c r="A13" s="920" t="s">
        <v>200</v>
      </c>
      <c r="B13" s="1759">
        <v>195560</v>
      </c>
      <c r="C13" s="1749"/>
      <c r="D13" s="1743"/>
    </row>
    <row r="14" spans="1:4" ht="16.5" customHeight="1">
      <c r="A14" s="920" t="s">
        <v>1386</v>
      </c>
      <c r="B14" s="1759">
        <v>120811</v>
      </c>
      <c r="C14" s="1749"/>
      <c r="D14" s="1743"/>
    </row>
    <row r="15" spans="1:4" ht="16.5" customHeight="1">
      <c r="A15" s="920" t="s">
        <v>1388</v>
      </c>
      <c r="B15" s="1759">
        <v>130590</v>
      </c>
      <c r="C15" s="1749"/>
      <c r="D15" s="1743"/>
    </row>
    <row r="16" spans="1:4" ht="16.5" customHeight="1">
      <c r="A16" s="287" t="s">
        <v>1385</v>
      </c>
      <c r="B16" s="1759">
        <v>105570</v>
      </c>
      <c r="C16" s="1749"/>
      <c r="D16" s="1743"/>
    </row>
    <row r="17" spans="1:4" ht="16.5" customHeight="1">
      <c r="A17" s="920" t="s">
        <v>1390</v>
      </c>
      <c r="B17" s="1759">
        <v>162050</v>
      </c>
      <c r="C17" s="1749"/>
      <c r="D17" s="1743"/>
    </row>
    <row r="18" spans="1:4" ht="16.5" customHeight="1">
      <c r="A18" s="920" t="s">
        <v>1391</v>
      </c>
      <c r="B18" s="1759">
        <v>102630</v>
      </c>
      <c r="C18" s="1749"/>
      <c r="D18" s="1743"/>
    </row>
    <row r="19" spans="1:4" ht="16.5" customHeight="1">
      <c r="A19" s="508" t="s">
        <v>1569</v>
      </c>
      <c r="B19" s="1759">
        <v>116943</v>
      </c>
      <c r="C19" s="1749"/>
      <c r="D19" s="1743"/>
    </row>
    <row r="20" spans="1:4" ht="16.5" customHeight="1">
      <c r="A20" s="920" t="s">
        <v>1383</v>
      </c>
      <c r="B20" s="1759">
        <v>530980</v>
      </c>
      <c r="C20" s="1749"/>
      <c r="D20" s="1743"/>
    </row>
    <row r="21" spans="1:4" ht="16.5" customHeight="1">
      <c r="A21" s="920" t="s">
        <v>1389</v>
      </c>
      <c r="B21" s="1759">
        <v>227055</v>
      </c>
      <c r="C21" s="1749"/>
      <c r="D21" s="1743"/>
    </row>
    <row r="22" spans="1:4" ht="16.5" customHeight="1">
      <c r="A22" s="633" t="s">
        <v>1268</v>
      </c>
      <c r="B22" s="388">
        <f>SUM(B23:B28)</f>
        <v>827800</v>
      </c>
      <c r="C22" s="1743"/>
      <c r="D22" s="1743"/>
    </row>
    <row r="23" spans="1:4" ht="16.5" customHeight="1">
      <c r="A23" s="920" t="s">
        <v>1393</v>
      </c>
      <c r="B23" s="1759">
        <v>137819</v>
      </c>
      <c r="C23" s="1749"/>
      <c r="D23" s="1743"/>
    </row>
    <row r="24" spans="1:4" ht="16.5" customHeight="1">
      <c r="A24" s="920" t="s">
        <v>1395</v>
      </c>
      <c r="B24" s="1759">
        <v>60036</v>
      </c>
      <c r="C24" s="1749"/>
      <c r="D24" s="1743"/>
    </row>
    <row r="25" spans="1:4" ht="16.5" customHeight="1">
      <c r="A25" s="920" t="s">
        <v>1396</v>
      </c>
      <c r="B25" s="1759">
        <v>28070</v>
      </c>
      <c r="C25" s="1749"/>
      <c r="D25" s="1743"/>
    </row>
    <row r="26" spans="1:4" ht="16.5" customHeight="1">
      <c r="A26" s="920" t="s">
        <v>1397</v>
      </c>
      <c r="B26" s="1759">
        <v>106070</v>
      </c>
      <c r="C26" s="1749"/>
      <c r="D26" s="1743"/>
    </row>
    <row r="27" spans="1:4" ht="16.5" customHeight="1">
      <c r="A27" s="920" t="s">
        <v>1399</v>
      </c>
      <c r="B27" s="1759">
        <v>71755</v>
      </c>
      <c r="C27" s="1749"/>
      <c r="D27" s="1743"/>
    </row>
    <row r="28" spans="1:4" ht="16.5" customHeight="1">
      <c r="A28" s="920" t="s">
        <v>1400</v>
      </c>
      <c r="B28" s="1759">
        <v>424050</v>
      </c>
      <c r="C28" s="1749"/>
      <c r="D28" s="1743"/>
    </row>
    <row r="29" spans="1:4" ht="16.5" customHeight="1">
      <c r="A29" s="633" t="s">
        <v>1266</v>
      </c>
      <c r="B29" s="388">
        <f>SUM(B30:B35)</f>
        <v>319585</v>
      </c>
      <c r="C29" s="1743"/>
      <c r="D29" s="1743"/>
    </row>
    <row r="30" spans="1:4" ht="16.5" customHeight="1">
      <c r="A30" s="920" t="s">
        <v>1269</v>
      </c>
      <c r="B30" s="1759">
        <v>74090</v>
      </c>
      <c r="C30" s="1749"/>
      <c r="D30" s="1743"/>
    </row>
    <row r="31" spans="1:4" ht="16.5" customHeight="1">
      <c r="A31" s="920" t="s">
        <v>1270</v>
      </c>
      <c r="B31" s="1759">
        <v>34060</v>
      </c>
      <c r="C31" s="1749"/>
      <c r="D31" s="1743"/>
    </row>
    <row r="32" spans="1:4" ht="16.5" customHeight="1">
      <c r="A32" s="920" t="s">
        <v>1412</v>
      </c>
      <c r="B32" s="1759">
        <v>84055</v>
      </c>
      <c r="C32" s="1749"/>
      <c r="D32" s="1743"/>
    </row>
    <row r="33" spans="1:4" ht="16.5" customHeight="1">
      <c r="A33" s="920" t="s">
        <v>1413</v>
      </c>
      <c r="B33" s="1759">
        <v>44530</v>
      </c>
      <c r="C33" s="1749"/>
      <c r="D33" s="1743"/>
    </row>
    <row r="34" spans="1:4" ht="16.5" customHeight="1">
      <c r="A34" s="920" t="s">
        <v>1414</v>
      </c>
      <c r="B34" s="1759">
        <v>3790</v>
      </c>
      <c r="C34" s="1749"/>
      <c r="D34" s="1743"/>
    </row>
    <row r="35" spans="1:4" ht="16.5" customHeight="1">
      <c r="A35" s="920" t="s">
        <v>1415</v>
      </c>
      <c r="B35" s="1759">
        <v>79060</v>
      </c>
      <c r="C35" s="1749"/>
      <c r="D35" s="1743"/>
    </row>
    <row r="36" spans="1:4" ht="16.5" customHeight="1">
      <c r="A36" s="633" t="s">
        <v>1271</v>
      </c>
      <c r="B36" s="388">
        <f>SUM(B37:B45)</f>
        <v>1652906</v>
      </c>
      <c r="C36" s="1743"/>
      <c r="D36" s="1743"/>
    </row>
    <row r="37" spans="1:4" ht="16.5" customHeight="1">
      <c r="A37" s="920" t="s">
        <v>1419</v>
      </c>
      <c r="B37" s="1759">
        <v>85070</v>
      </c>
      <c r="C37" s="1749"/>
      <c r="D37" s="1743"/>
    </row>
    <row r="38" spans="1:4" ht="16.5" customHeight="1">
      <c r="A38" s="920" t="s">
        <v>1420</v>
      </c>
      <c r="B38" s="1759">
        <v>36301</v>
      </c>
      <c r="C38" s="1749"/>
      <c r="D38" s="1743"/>
    </row>
    <row r="39" spans="1:4" ht="16.5" customHeight="1">
      <c r="A39" s="920" t="s">
        <v>1422</v>
      </c>
      <c r="B39" s="1759">
        <v>31814</v>
      </c>
      <c r="C39" s="1749"/>
      <c r="D39" s="1743"/>
    </row>
    <row r="40" spans="1:4" ht="16.5" customHeight="1">
      <c r="A40" s="920" t="s">
        <v>1423</v>
      </c>
      <c r="B40" s="1759">
        <v>44070</v>
      </c>
      <c r="C40" s="1749"/>
      <c r="D40" s="1743"/>
    </row>
    <row r="41" spans="1:4" ht="16.5" customHeight="1">
      <c r="A41" s="920" t="s">
        <v>1425</v>
      </c>
      <c r="B41" s="1759">
        <v>34005</v>
      </c>
      <c r="C41" s="1749"/>
      <c r="D41" s="1743"/>
    </row>
    <row r="42" spans="1:4" ht="16.5" customHeight="1">
      <c r="A42" s="920" t="s">
        <v>1426</v>
      </c>
      <c r="B42" s="1759">
        <v>62505</v>
      </c>
      <c r="C42" s="1749"/>
      <c r="D42" s="1743"/>
    </row>
    <row r="43" spans="1:4" ht="16.5" customHeight="1">
      <c r="A43" s="508" t="s">
        <v>1570</v>
      </c>
      <c r="B43" s="1759">
        <v>330801</v>
      </c>
      <c r="C43" s="1749"/>
      <c r="D43" s="1743"/>
    </row>
    <row r="44" spans="1:4" ht="16.5" customHeight="1">
      <c r="A44" s="920" t="s">
        <v>1429</v>
      </c>
      <c r="B44" s="1759">
        <v>38090</v>
      </c>
      <c r="C44" s="1749"/>
      <c r="D44" s="1743"/>
    </row>
    <row r="45" spans="1:4" ht="16.5" customHeight="1">
      <c r="A45" s="921" t="s">
        <v>1427</v>
      </c>
      <c r="B45" s="1757">
        <v>990250</v>
      </c>
      <c r="C45" s="1749"/>
      <c r="D45" s="1743"/>
    </row>
    <row r="46" spans="1:4" ht="14.25" customHeight="1">
      <c r="A46" s="190"/>
      <c r="B46" s="1106" t="s">
        <v>1374</v>
      </c>
    </row>
    <row r="47" spans="1:4" ht="13.5" customHeight="1">
      <c r="B47" s="653"/>
    </row>
    <row r="48" spans="1:4" ht="12.4" customHeight="1">
      <c r="A48" s="330"/>
      <c r="B48" s="336"/>
    </row>
    <row r="50" spans="1:2" ht="12.4" customHeight="1">
      <c r="A50" s="24"/>
      <c r="B50" s="24"/>
    </row>
  </sheetData>
  <mergeCells count="2">
    <mergeCell ref="A2:B2"/>
    <mergeCell ref="A1:B1"/>
  </mergeCells>
  <phoneticPr fontId="0" type="noConversion"/>
  <printOptions horizontalCentered="1"/>
  <pageMargins left="0.1" right="0.1" top="0.7" bottom="0.1" header="0.7" footer="0.1"/>
  <pageSetup paperSize="9" orientation="portrait" blackAndWhite="1" r:id="rId1"/>
  <headerFooter alignWithMargins="0"/>
</worksheet>
</file>

<file path=xl/worksheets/sheet78.xml><?xml version="1.0" encoding="utf-8"?>
<worksheet xmlns="http://schemas.openxmlformats.org/spreadsheetml/2006/main" xmlns:r="http://schemas.openxmlformats.org/officeDocument/2006/relationships">
  <dimension ref="A1"/>
  <sheetViews>
    <sheetView topLeftCell="A4" zoomScale="75" workbookViewId="0">
      <selection activeCell="O5" sqref="O5"/>
    </sheetView>
  </sheetViews>
  <sheetFormatPr defaultRowHeight="12.75"/>
  <sheetData/>
  <phoneticPr fontId="0" type="noConversion"/>
  <pageMargins left="0.75" right="0.75" top="1" bottom="1" header="0.5" footer="0.5"/>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dimension ref="A1"/>
  <sheetViews>
    <sheetView topLeftCell="A7" workbookViewId="0">
      <selection activeCell="A37" sqref="A37"/>
    </sheetView>
  </sheetViews>
  <sheetFormatPr defaultRowHeight="12.75"/>
  <cols>
    <col min="1" max="1" width="107.140625" customWidth="1"/>
  </cols>
  <sheetData>
    <row r="1" spans="1:1" ht="294" customHeight="1">
      <c r="A1" s="564" t="s">
        <v>165</v>
      </c>
    </row>
  </sheetData>
  <phoneticPr fontId="0" type="noConversion"/>
  <pageMargins left="0.75" right="0.75" top="1" bottom="1" header="0.5" footer="0.5"/>
  <pageSetup orientation="portrait" horizontalDpi="4294967295"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7"/>
  <dimension ref="A1:T64"/>
  <sheetViews>
    <sheetView topLeftCell="A22" workbookViewId="0">
      <selection activeCell="B38" sqref="B38"/>
    </sheetView>
  </sheetViews>
  <sheetFormatPr defaultRowHeight="12.75"/>
  <cols>
    <col min="1" max="1" width="15.42578125" style="1305" customWidth="1"/>
    <col min="2" max="2" width="19" style="1305" customWidth="1"/>
    <col min="3" max="3" width="16.5703125" style="1305" customWidth="1"/>
    <col min="4" max="4" width="8" style="1305" customWidth="1"/>
    <col min="5" max="5" width="6.140625" style="1305" customWidth="1"/>
    <col min="6" max="6" width="7.5703125" style="1305" customWidth="1"/>
    <col min="7" max="7" width="8.85546875" style="1305" customWidth="1"/>
    <col min="8" max="8" width="9.5703125" style="1305" customWidth="1"/>
    <col min="9" max="9" width="8.28515625" style="1305" customWidth="1"/>
    <col min="10" max="10" width="5.5703125" style="1305" customWidth="1"/>
    <col min="11" max="11" width="6" style="1305" customWidth="1"/>
    <col min="12" max="12" width="5.140625" style="1305" customWidth="1"/>
    <col min="13" max="13" width="8.28515625" style="1305" customWidth="1"/>
    <col min="14" max="14" width="4.85546875" style="1305" customWidth="1"/>
    <col min="15" max="15" width="5.28515625" style="1305" customWidth="1"/>
    <col min="16" max="16" width="7.7109375" style="1305" customWidth="1"/>
    <col min="17" max="17" width="5.5703125" style="1305" customWidth="1"/>
    <col min="18" max="18" width="7.85546875" style="1305" customWidth="1"/>
    <col min="19" max="16384" width="9.140625" style="1305"/>
  </cols>
  <sheetData>
    <row r="1" spans="1:19" ht="12.75" customHeight="1">
      <c r="A1" s="1825" t="s">
        <v>807</v>
      </c>
      <c r="B1" s="1825"/>
      <c r="C1" s="1825"/>
      <c r="D1" s="1825"/>
      <c r="E1" s="1825"/>
      <c r="F1" s="1825"/>
      <c r="G1" s="1825"/>
      <c r="H1" s="1825"/>
      <c r="I1" s="1825"/>
      <c r="J1" s="1825"/>
      <c r="K1" s="1825"/>
      <c r="L1" s="1825"/>
      <c r="M1" s="1825"/>
      <c r="N1" s="1825"/>
      <c r="O1" s="1825"/>
      <c r="P1" s="1825"/>
      <c r="Q1" s="1825"/>
      <c r="R1" s="1825"/>
    </row>
    <row r="2" spans="1:19" ht="15" customHeight="1">
      <c r="A2" s="1835" t="str">
        <f>CONCATENATE("Administrative Units in the district of ",District!$A$1," for the year ",District!B5)</f>
        <v>Administrative Units in the district of Purba Medinipur for the year 2014</v>
      </c>
      <c r="B2" s="1835"/>
      <c r="C2" s="1835"/>
      <c r="D2" s="1835"/>
      <c r="E2" s="1835"/>
      <c r="F2" s="1835"/>
      <c r="G2" s="1835"/>
      <c r="H2" s="1835"/>
      <c r="I2" s="1835"/>
      <c r="J2" s="1835"/>
      <c r="K2" s="1835"/>
      <c r="L2" s="1835"/>
      <c r="M2" s="1835"/>
      <c r="N2" s="1835"/>
      <c r="O2" s="1835"/>
      <c r="P2" s="1835"/>
      <c r="Q2" s="1835"/>
      <c r="R2" s="1835"/>
    </row>
    <row r="3" spans="1:19" ht="12" customHeight="1">
      <c r="A3" s="1306"/>
      <c r="B3" s="1306"/>
      <c r="C3" s="1306"/>
      <c r="D3" s="1306"/>
      <c r="E3" s="1306"/>
      <c r="G3" s="1865"/>
      <c r="H3" s="1865"/>
      <c r="I3" s="1865"/>
      <c r="J3" s="1865"/>
      <c r="K3" s="1307"/>
      <c r="L3" s="1307"/>
      <c r="R3" s="1308" t="s">
        <v>1001</v>
      </c>
      <c r="S3" s="1307"/>
    </row>
    <row r="4" spans="1:19" s="13" customFormat="1" ht="13.5" customHeight="1">
      <c r="A4" s="1863" t="s">
        <v>996</v>
      </c>
      <c r="B4" s="1833" t="s">
        <v>1147</v>
      </c>
      <c r="C4" s="1833" t="s">
        <v>1148</v>
      </c>
      <c r="D4" s="1829" t="s">
        <v>997</v>
      </c>
      <c r="E4" s="1827"/>
      <c r="F4" s="1828"/>
      <c r="G4" s="1866" t="s">
        <v>1143</v>
      </c>
      <c r="H4" s="1833" t="s">
        <v>1062</v>
      </c>
      <c r="I4" s="1833" t="s">
        <v>948</v>
      </c>
      <c r="J4" s="1827" t="s">
        <v>1002</v>
      </c>
      <c r="K4" s="1827"/>
      <c r="L4" s="1827"/>
      <c r="M4" s="1827"/>
      <c r="N4" s="1827"/>
      <c r="O4" s="1827"/>
      <c r="P4" s="1827"/>
      <c r="Q4" s="1827"/>
      <c r="R4" s="1828"/>
    </row>
    <row r="5" spans="1:19" s="13" customFormat="1" ht="27" customHeight="1">
      <c r="A5" s="1863"/>
      <c r="B5" s="1858"/>
      <c r="C5" s="1870"/>
      <c r="D5" s="1859" t="s">
        <v>998</v>
      </c>
      <c r="E5" s="1831" t="s">
        <v>999</v>
      </c>
      <c r="F5" s="1867" t="s">
        <v>907</v>
      </c>
      <c r="G5" s="1860"/>
      <c r="H5" s="1834"/>
      <c r="I5" s="1834"/>
      <c r="J5" s="1871" t="s">
        <v>1149</v>
      </c>
      <c r="K5" s="1872"/>
      <c r="L5" s="1829" t="s">
        <v>905</v>
      </c>
      <c r="M5" s="1828"/>
      <c r="N5" s="1869" t="s">
        <v>1150</v>
      </c>
      <c r="O5" s="1828"/>
      <c r="P5" s="362" t="s">
        <v>1195</v>
      </c>
      <c r="Q5" s="362" t="s">
        <v>1196</v>
      </c>
      <c r="R5" s="1833" t="s">
        <v>979</v>
      </c>
    </row>
    <row r="6" spans="1:19" s="13" customFormat="1" ht="13.5" customHeight="1">
      <c r="A6" s="1864"/>
      <c r="B6" s="1832"/>
      <c r="C6" s="1834"/>
      <c r="D6" s="1860"/>
      <c r="E6" s="1832"/>
      <c r="F6" s="1868"/>
      <c r="G6" s="1175" t="s">
        <v>1000</v>
      </c>
      <c r="H6" s="1176" t="s">
        <v>1235</v>
      </c>
      <c r="I6" s="1176" t="s">
        <v>1235</v>
      </c>
      <c r="J6" s="413" t="s">
        <v>1030</v>
      </c>
      <c r="K6" s="739" t="s">
        <v>1031</v>
      </c>
      <c r="L6" s="412" t="s">
        <v>1030</v>
      </c>
      <c r="M6" s="160" t="s">
        <v>1031</v>
      </c>
      <c r="N6" s="412" t="s">
        <v>1030</v>
      </c>
      <c r="O6" s="739" t="s">
        <v>1031</v>
      </c>
      <c r="P6" s="1411" t="s">
        <v>1235</v>
      </c>
      <c r="Q6" s="1392" t="s">
        <v>1235</v>
      </c>
      <c r="R6" s="1834"/>
    </row>
    <row r="7" spans="1:19" ht="12.75" customHeight="1">
      <c r="A7" s="134" t="s">
        <v>955</v>
      </c>
      <c r="B7" s="134" t="s">
        <v>956</v>
      </c>
      <c r="C7" s="134" t="s">
        <v>957</v>
      </c>
      <c r="D7" s="137" t="s">
        <v>958</v>
      </c>
      <c r="E7" s="134" t="s">
        <v>959</v>
      </c>
      <c r="F7" s="136" t="s">
        <v>961</v>
      </c>
      <c r="G7" s="135" t="s">
        <v>962</v>
      </c>
      <c r="H7" s="134" t="s">
        <v>990</v>
      </c>
      <c r="I7" s="134" t="s">
        <v>991</v>
      </c>
      <c r="J7" s="135" t="s">
        <v>992</v>
      </c>
      <c r="K7" s="134" t="s">
        <v>993</v>
      </c>
      <c r="L7" s="137" t="s">
        <v>1046</v>
      </c>
      <c r="M7" s="134" t="s">
        <v>1048</v>
      </c>
      <c r="N7" s="137" t="s">
        <v>1049</v>
      </c>
      <c r="O7" s="134" t="s">
        <v>1050</v>
      </c>
      <c r="P7" s="135" t="s">
        <v>1051</v>
      </c>
      <c r="Q7" s="134" t="s">
        <v>1052</v>
      </c>
      <c r="R7" s="136" t="s">
        <v>1054</v>
      </c>
    </row>
    <row r="8" spans="1:19" ht="12" customHeight="1">
      <c r="A8" s="914" t="s">
        <v>1267</v>
      </c>
      <c r="B8" s="388">
        <v>6</v>
      </c>
      <c r="C8" s="171" t="s">
        <v>1401</v>
      </c>
      <c r="D8" s="316">
        <f t="shared" ref="D8:I8" si="0">SUM(D9:D17)</f>
        <v>7</v>
      </c>
      <c r="E8" s="388">
        <f t="shared" si="0"/>
        <v>82</v>
      </c>
      <c r="F8" s="253">
        <f t="shared" si="0"/>
        <v>1217</v>
      </c>
      <c r="G8" s="1309">
        <f t="shared" si="0"/>
        <v>852</v>
      </c>
      <c r="H8" s="388" t="s">
        <v>6</v>
      </c>
      <c r="I8" s="388">
        <f t="shared" si="0"/>
        <v>397717</v>
      </c>
      <c r="J8" s="355" t="str">
        <f>IF(SUM(J9:J17)=0,"-",SUM(J9:J17))</f>
        <v>-</v>
      </c>
      <c r="K8" s="388" t="str">
        <f t="shared" ref="K8:R8" si="1">IF(SUM(K9:K17)=0,"-",SUM(K9:K17))</f>
        <v>-</v>
      </c>
      <c r="L8" s="316">
        <f t="shared" si="1"/>
        <v>2</v>
      </c>
      <c r="M8" s="388">
        <f t="shared" si="1"/>
        <v>37</v>
      </c>
      <c r="N8" s="316" t="str">
        <f t="shared" si="1"/>
        <v>-</v>
      </c>
      <c r="O8" s="388" t="str">
        <f t="shared" si="1"/>
        <v>-</v>
      </c>
      <c r="P8" s="355">
        <f t="shared" si="1"/>
        <v>11</v>
      </c>
      <c r="Q8" s="388" t="str">
        <f t="shared" si="1"/>
        <v>-</v>
      </c>
      <c r="R8" s="253">
        <f t="shared" si="1"/>
        <v>13</v>
      </c>
    </row>
    <row r="9" spans="1:19" ht="12" customHeight="1">
      <c r="A9" s="200"/>
      <c r="B9" s="1878" t="s">
        <v>200</v>
      </c>
      <c r="C9" s="165" t="s">
        <v>200</v>
      </c>
      <c r="D9" s="407">
        <v>1</v>
      </c>
      <c r="E9" s="391">
        <v>12</v>
      </c>
      <c r="F9" s="408">
        <v>161</v>
      </c>
      <c r="G9" s="147">
        <v>107</v>
      </c>
      <c r="H9" s="1054">
        <v>99</v>
      </c>
      <c r="I9" s="391">
        <v>48310</v>
      </c>
      <c r="J9" s="108" t="s">
        <v>1384</v>
      </c>
      <c r="K9" s="391" t="s">
        <v>1384</v>
      </c>
      <c r="L9" s="407" t="s">
        <v>1384</v>
      </c>
      <c r="M9" s="391" t="s">
        <v>1384</v>
      </c>
      <c r="N9" s="407" t="s">
        <v>1384</v>
      </c>
      <c r="O9" s="391" t="s">
        <v>1384</v>
      </c>
      <c r="P9" s="108">
        <v>2</v>
      </c>
      <c r="Q9" s="391" t="s">
        <v>1384</v>
      </c>
      <c r="R9" s="408">
        <f>IF(SUM(J9,L9,N9,P9,Q9)=0,"-",SUM(J9,L9,N9,P9,Q9))</f>
        <v>2</v>
      </c>
    </row>
    <row r="10" spans="1:19" ht="12" customHeight="1">
      <c r="A10" s="1310"/>
      <c r="B10" s="1878"/>
      <c r="C10" s="165" t="s">
        <v>1383</v>
      </c>
      <c r="D10" s="407" t="s">
        <v>1384</v>
      </c>
      <c r="E10" s="391" t="s">
        <v>1384</v>
      </c>
      <c r="F10" s="408" t="s">
        <v>1384</v>
      </c>
      <c r="G10" s="147" t="s">
        <v>1384</v>
      </c>
      <c r="H10" s="391" t="s">
        <v>1384</v>
      </c>
      <c r="I10" s="391">
        <v>14489</v>
      </c>
      <c r="J10" s="108" t="s">
        <v>1384</v>
      </c>
      <c r="K10" s="391" t="s">
        <v>1384</v>
      </c>
      <c r="L10" s="407">
        <v>1</v>
      </c>
      <c r="M10" s="391">
        <v>20</v>
      </c>
      <c r="N10" s="407" t="s">
        <v>1384</v>
      </c>
      <c r="O10" s="391" t="s">
        <v>1384</v>
      </c>
      <c r="P10" s="108" t="s">
        <v>1384</v>
      </c>
      <c r="Q10" s="391" t="s">
        <v>1384</v>
      </c>
      <c r="R10" s="408">
        <f t="shared" ref="R10:R17" si="2">IF(SUM(J10,L10,N10,P10,Q10)=0,"-",SUM(J10,L10,N10,P10,Q10))</f>
        <v>1</v>
      </c>
    </row>
    <row r="11" spans="1:19" ht="12" customHeight="1">
      <c r="A11" s="1310"/>
      <c r="B11" s="1878" t="s">
        <v>1385</v>
      </c>
      <c r="C11" s="165" t="s">
        <v>1386</v>
      </c>
      <c r="D11" s="407">
        <v>1</v>
      </c>
      <c r="E11" s="391">
        <v>10</v>
      </c>
      <c r="F11" s="408">
        <v>152</v>
      </c>
      <c r="G11" s="147">
        <v>87</v>
      </c>
      <c r="H11" s="1054">
        <v>81</v>
      </c>
      <c r="I11" s="391">
        <v>45038</v>
      </c>
      <c r="J11" s="108" t="s">
        <v>1384</v>
      </c>
      <c r="K11" s="391" t="s">
        <v>1384</v>
      </c>
      <c r="L11" s="407" t="s">
        <v>1384</v>
      </c>
      <c r="M11" s="391" t="s">
        <v>1384</v>
      </c>
      <c r="N11" s="407" t="s">
        <v>1384</v>
      </c>
      <c r="O11" s="391" t="s">
        <v>1384</v>
      </c>
      <c r="P11" s="108">
        <v>2</v>
      </c>
      <c r="Q11" s="391" t="s">
        <v>1384</v>
      </c>
      <c r="R11" s="408">
        <f t="shared" si="2"/>
        <v>2</v>
      </c>
    </row>
    <row r="12" spans="1:19" ht="12" customHeight="1">
      <c r="A12" s="200"/>
      <c r="B12" s="1878"/>
      <c r="C12" s="255" t="s">
        <v>1385</v>
      </c>
      <c r="D12" s="407">
        <v>1</v>
      </c>
      <c r="E12" s="391">
        <v>13</v>
      </c>
      <c r="F12" s="408">
        <v>217</v>
      </c>
      <c r="G12" s="147">
        <v>112</v>
      </c>
      <c r="H12" s="1054">
        <v>106</v>
      </c>
      <c r="I12" s="391">
        <v>62519</v>
      </c>
      <c r="J12" s="108" t="s">
        <v>1384</v>
      </c>
      <c r="K12" s="391" t="s">
        <v>1384</v>
      </c>
      <c r="L12" s="407" t="s">
        <v>1384</v>
      </c>
      <c r="M12" s="391" t="s">
        <v>1384</v>
      </c>
      <c r="N12" s="407" t="s">
        <v>1384</v>
      </c>
      <c r="O12" s="391" t="s">
        <v>1384</v>
      </c>
      <c r="P12" s="108">
        <v>4</v>
      </c>
      <c r="Q12" s="391" t="s">
        <v>1384</v>
      </c>
      <c r="R12" s="408">
        <f>IF(SUM(J12,L12,N12,P12,Q12)=0,"-",SUM(J12,L12,N12,P12,Q12))</f>
        <v>4</v>
      </c>
    </row>
    <row r="13" spans="1:19" ht="12" customHeight="1">
      <c r="A13" s="1310"/>
      <c r="B13" s="1878" t="s">
        <v>1387</v>
      </c>
      <c r="C13" s="165" t="s">
        <v>1388</v>
      </c>
      <c r="D13" s="407">
        <v>1</v>
      </c>
      <c r="E13" s="391">
        <v>14</v>
      </c>
      <c r="F13" s="408">
        <v>208</v>
      </c>
      <c r="G13" s="147">
        <v>247</v>
      </c>
      <c r="H13" s="1054">
        <v>225</v>
      </c>
      <c r="I13" s="391">
        <v>62854</v>
      </c>
      <c r="J13" s="108" t="s">
        <v>1384</v>
      </c>
      <c r="K13" s="391" t="s">
        <v>1384</v>
      </c>
      <c r="L13" s="407" t="s">
        <v>1384</v>
      </c>
      <c r="M13" s="391" t="s">
        <v>1384</v>
      </c>
      <c r="N13" s="407" t="s">
        <v>1384</v>
      </c>
      <c r="O13" s="391" t="s">
        <v>1384</v>
      </c>
      <c r="P13" s="108" t="s">
        <v>1384</v>
      </c>
      <c r="Q13" s="391" t="s">
        <v>1384</v>
      </c>
      <c r="R13" s="408" t="str">
        <f>IF(SUM(J13,L13,N13,P13,Q13)=0,"-",SUM(J13,L13,N13,P13,Q13))</f>
        <v>-</v>
      </c>
    </row>
    <row r="14" spans="1:19" ht="12" customHeight="1">
      <c r="A14" s="1310"/>
      <c r="B14" s="1878"/>
      <c r="C14" s="165" t="s">
        <v>1389</v>
      </c>
      <c r="D14" s="407" t="s">
        <v>1384</v>
      </c>
      <c r="E14" s="391" t="s">
        <v>1384</v>
      </c>
      <c r="F14" s="408" t="s">
        <v>1384</v>
      </c>
      <c r="G14" s="147" t="s">
        <v>1384</v>
      </c>
      <c r="H14" s="391" t="s">
        <v>1384</v>
      </c>
      <c r="I14" s="391">
        <v>11743</v>
      </c>
      <c r="J14" s="108" t="s">
        <v>1384</v>
      </c>
      <c r="K14" s="391" t="s">
        <v>1384</v>
      </c>
      <c r="L14" s="407">
        <v>1</v>
      </c>
      <c r="M14" s="391">
        <v>17</v>
      </c>
      <c r="N14" s="407" t="s">
        <v>1384</v>
      </c>
      <c r="O14" s="391" t="s">
        <v>1384</v>
      </c>
      <c r="P14" s="108" t="s">
        <v>1384</v>
      </c>
      <c r="Q14" s="391" t="s">
        <v>1384</v>
      </c>
      <c r="R14" s="408">
        <f t="shared" si="2"/>
        <v>1</v>
      </c>
    </row>
    <row r="15" spans="1:19" ht="12" customHeight="1">
      <c r="A15" s="1310"/>
      <c r="B15" s="1311" t="s">
        <v>1390</v>
      </c>
      <c r="C15" s="165" t="s">
        <v>1390</v>
      </c>
      <c r="D15" s="407">
        <v>1</v>
      </c>
      <c r="E15" s="391">
        <v>11</v>
      </c>
      <c r="F15" s="408">
        <v>159</v>
      </c>
      <c r="G15" s="147">
        <v>85</v>
      </c>
      <c r="H15" s="391" t="s">
        <v>1064</v>
      </c>
      <c r="I15" s="391">
        <v>53356</v>
      </c>
      <c r="J15" s="108" t="s">
        <v>1384</v>
      </c>
      <c r="K15" s="391" t="s">
        <v>1384</v>
      </c>
      <c r="L15" s="407" t="s">
        <v>1384</v>
      </c>
      <c r="M15" s="391" t="s">
        <v>1384</v>
      </c>
      <c r="N15" s="407" t="s">
        <v>1384</v>
      </c>
      <c r="O15" s="391" t="s">
        <v>1384</v>
      </c>
      <c r="P15" s="108">
        <v>1</v>
      </c>
      <c r="Q15" s="391" t="s">
        <v>1384</v>
      </c>
      <c r="R15" s="408">
        <f t="shared" si="2"/>
        <v>1</v>
      </c>
    </row>
    <row r="16" spans="1:19" ht="12" customHeight="1">
      <c r="A16" s="1310"/>
      <c r="B16" s="1311" t="s">
        <v>1391</v>
      </c>
      <c r="C16" s="165" t="s">
        <v>1391</v>
      </c>
      <c r="D16" s="407">
        <v>1</v>
      </c>
      <c r="E16" s="391">
        <v>12</v>
      </c>
      <c r="F16" s="408">
        <v>186</v>
      </c>
      <c r="G16" s="147">
        <v>100</v>
      </c>
      <c r="H16" s="391" t="s">
        <v>1063</v>
      </c>
      <c r="I16" s="391">
        <v>59240</v>
      </c>
      <c r="J16" s="108" t="s">
        <v>1384</v>
      </c>
      <c r="K16" s="391" t="s">
        <v>1384</v>
      </c>
      <c r="L16" s="407" t="s">
        <v>1384</v>
      </c>
      <c r="M16" s="391" t="s">
        <v>1384</v>
      </c>
      <c r="N16" s="407" t="s">
        <v>1384</v>
      </c>
      <c r="O16" s="391" t="s">
        <v>1384</v>
      </c>
      <c r="P16" s="108" t="s">
        <v>1384</v>
      </c>
      <c r="Q16" s="391" t="s">
        <v>1384</v>
      </c>
      <c r="R16" s="408" t="str">
        <f t="shared" si="2"/>
        <v>-</v>
      </c>
    </row>
    <row r="17" spans="1:18" ht="12" customHeight="1">
      <c r="A17" s="1310"/>
      <c r="B17" s="1311" t="s">
        <v>1392</v>
      </c>
      <c r="C17" s="255" t="s">
        <v>1392</v>
      </c>
      <c r="D17" s="407">
        <v>1</v>
      </c>
      <c r="E17" s="391">
        <v>10</v>
      </c>
      <c r="F17" s="408">
        <v>134</v>
      </c>
      <c r="G17" s="147">
        <v>114</v>
      </c>
      <c r="H17" s="1054">
        <v>111</v>
      </c>
      <c r="I17" s="391">
        <v>40168</v>
      </c>
      <c r="J17" s="108" t="s">
        <v>1384</v>
      </c>
      <c r="K17" s="391" t="s">
        <v>1384</v>
      </c>
      <c r="L17" s="407" t="s">
        <v>1384</v>
      </c>
      <c r="M17" s="391" t="s">
        <v>1384</v>
      </c>
      <c r="N17" s="407" t="s">
        <v>1384</v>
      </c>
      <c r="O17" s="391" t="s">
        <v>1384</v>
      </c>
      <c r="P17" s="108">
        <v>2</v>
      </c>
      <c r="Q17" s="391" t="s">
        <v>1384</v>
      </c>
      <c r="R17" s="408">
        <f t="shared" si="2"/>
        <v>2</v>
      </c>
    </row>
    <row r="18" spans="1:18" ht="12" customHeight="1">
      <c r="A18" s="914" t="s">
        <v>1268</v>
      </c>
      <c r="B18" s="388">
        <v>6</v>
      </c>
      <c r="C18" s="1312" t="s">
        <v>1402</v>
      </c>
      <c r="D18" s="316">
        <f t="shared" ref="D18:I18" si="3">SUM(D19:D24)</f>
        <v>5</v>
      </c>
      <c r="E18" s="388">
        <f t="shared" si="3"/>
        <v>38</v>
      </c>
      <c r="F18" s="253">
        <f t="shared" si="3"/>
        <v>544</v>
      </c>
      <c r="G18" s="1309">
        <f t="shared" si="3"/>
        <v>320</v>
      </c>
      <c r="H18" s="388" t="s">
        <v>7</v>
      </c>
      <c r="I18" s="388">
        <f t="shared" si="3"/>
        <v>207547</v>
      </c>
      <c r="J18" s="355" t="str">
        <f t="shared" ref="J18:R18" si="4">IF(SUM(J19:J24)=0,"-",SUM(J19:J24))</f>
        <v>-</v>
      </c>
      <c r="K18" s="388" t="str">
        <f t="shared" si="4"/>
        <v>-</v>
      </c>
      <c r="L18" s="316">
        <f t="shared" si="4"/>
        <v>1</v>
      </c>
      <c r="M18" s="388">
        <f t="shared" si="4"/>
        <v>26</v>
      </c>
      <c r="N18" s="316" t="str">
        <f t="shared" si="4"/>
        <v>-</v>
      </c>
      <c r="O18" s="388" t="str">
        <f t="shared" si="4"/>
        <v>-</v>
      </c>
      <c r="P18" s="355">
        <f t="shared" si="4"/>
        <v>4</v>
      </c>
      <c r="Q18" s="388" t="str">
        <f t="shared" si="4"/>
        <v>-</v>
      </c>
      <c r="R18" s="253">
        <f t="shared" si="4"/>
        <v>5</v>
      </c>
    </row>
    <row r="19" spans="1:18" ht="12" customHeight="1">
      <c r="A19" s="200"/>
      <c r="B19" s="1311" t="s">
        <v>1393</v>
      </c>
      <c r="C19" s="165" t="s">
        <v>1393</v>
      </c>
      <c r="D19" s="407">
        <v>1</v>
      </c>
      <c r="E19" s="391">
        <v>11</v>
      </c>
      <c r="F19" s="408">
        <v>154</v>
      </c>
      <c r="G19" s="147">
        <v>75</v>
      </c>
      <c r="H19" s="391" t="s">
        <v>1065</v>
      </c>
      <c r="I19" s="391">
        <v>44970</v>
      </c>
      <c r="J19" s="108" t="s">
        <v>1384</v>
      </c>
      <c r="K19" s="391" t="s">
        <v>1384</v>
      </c>
      <c r="L19" s="407" t="s">
        <v>1384</v>
      </c>
      <c r="M19" s="391" t="s">
        <v>1384</v>
      </c>
      <c r="N19" s="407" t="s">
        <v>1384</v>
      </c>
      <c r="O19" s="391" t="s">
        <v>1384</v>
      </c>
      <c r="P19" s="108">
        <v>1</v>
      </c>
      <c r="Q19" s="391" t="s">
        <v>1384</v>
      </c>
      <c r="R19" s="408">
        <f t="shared" ref="R19:R24" si="5">IF(SUM(J19,L19,N19,P19,Q19)=0,"-",SUM(J19,L19,N19,P19,Q19))</f>
        <v>1</v>
      </c>
    </row>
    <row r="20" spans="1:18" ht="12" customHeight="1">
      <c r="A20" s="200"/>
      <c r="B20" s="1878" t="s">
        <v>1394</v>
      </c>
      <c r="C20" s="165" t="s">
        <v>1395</v>
      </c>
      <c r="D20" s="407">
        <v>1</v>
      </c>
      <c r="E20" s="391">
        <v>10</v>
      </c>
      <c r="F20" s="408">
        <v>140</v>
      </c>
      <c r="G20" s="147">
        <v>99</v>
      </c>
      <c r="H20" s="391">
        <v>98</v>
      </c>
      <c r="I20" s="391">
        <v>42289</v>
      </c>
      <c r="J20" s="108" t="s">
        <v>1384</v>
      </c>
      <c r="K20" s="391" t="s">
        <v>1384</v>
      </c>
      <c r="L20" s="407" t="s">
        <v>1384</v>
      </c>
      <c r="M20" s="391" t="s">
        <v>1384</v>
      </c>
      <c r="N20" s="407" t="s">
        <v>1384</v>
      </c>
      <c r="O20" s="391" t="s">
        <v>1384</v>
      </c>
      <c r="P20" s="108">
        <v>1</v>
      </c>
      <c r="Q20" s="391" t="s">
        <v>1384</v>
      </c>
      <c r="R20" s="408">
        <f t="shared" si="5"/>
        <v>1</v>
      </c>
    </row>
    <row r="21" spans="1:18" ht="12" customHeight="1">
      <c r="A21" s="200"/>
      <c r="B21" s="1878"/>
      <c r="C21" s="165" t="s">
        <v>1396</v>
      </c>
      <c r="D21" s="407">
        <v>1</v>
      </c>
      <c r="E21" s="391">
        <v>7</v>
      </c>
      <c r="F21" s="408">
        <v>91</v>
      </c>
      <c r="G21" s="147">
        <v>41</v>
      </c>
      <c r="H21" s="391">
        <v>40</v>
      </c>
      <c r="I21" s="391">
        <v>26902</v>
      </c>
      <c r="J21" s="108" t="s">
        <v>1384</v>
      </c>
      <c r="K21" s="391" t="s">
        <v>1384</v>
      </c>
      <c r="L21" s="407" t="s">
        <v>1384</v>
      </c>
      <c r="M21" s="391" t="s">
        <v>1384</v>
      </c>
      <c r="N21" s="407" t="s">
        <v>1384</v>
      </c>
      <c r="O21" s="391" t="s">
        <v>1384</v>
      </c>
      <c r="P21" s="108">
        <v>1</v>
      </c>
      <c r="Q21" s="391" t="s">
        <v>1384</v>
      </c>
      <c r="R21" s="408">
        <f t="shared" si="5"/>
        <v>1</v>
      </c>
    </row>
    <row r="22" spans="1:18" ht="12" customHeight="1">
      <c r="A22" s="200"/>
      <c r="B22" s="1311" t="s">
        <v>1397</v>
      </c>
      <c r="C22" s="165" t="s">
        <v>1397</v>
      </c>
      <c r="D22" s="407">
        <v>1</v>
      </c>
      <c r="E22" s="391">
        <v>6</v>
      </c>
      <c r="F22" s="408">
        <v>89</v>
      </c>
      <c r="G22" s="147">
        <v>81</v>
      </c>
      <c r="H22" s="391">
        <v>78</v>
      </c>
      <c r="I22" s="391">
        <v>26936</v>
      </c>
      <c r="J22" s="108" t="s">
        <v>1384</v>
      </c>
      <c r="K22" s="391" t="s">
        <v>1384</v>
      </c>
      <c r="L22" s="407" t="s">
        <v>1384</v>
      </c>
      <c r="M22" s="391" t="s">
        <v>1384</v>
      </c>
      <c r="N22" s="407" t="s">
        <v>1384</v>
      </c>
      <c r="O22" s="391" t="s">
        <v>1384</v>
      </c>
      <c r="P22" s="108">
        <v>1</v>
      </c>
      <c r="Q22" s="391" t="s">
        <v>1384</v>
      </c>
      <c r="R22" s="408">
        <f t="shared" si="5"/>
        <v>1</v>
      </c>
    </row>
    <row r="23" spans="1:18" ht="12" customHeight="1">
      <c r="A23" s="200"/>
      <c r="B23" s="1311" t="s">
        <v>1398</v>
      </c>
      <c r="C23" s="165" t="s">
        <v>1399</v>
      </c>
      <c r="D23" s="407">
        <v>1</v>
      </c>
      <c r="E23" s="391">
        <v>4</v>
      </c>
      <c r="F23" s="408">
        <v>70</v>
      </c>
      <c r="G23" s="147">
        <v>24</v>
      </c>
      <c r="H23" s="391">
        <v>24</v>
      </c>
      <c r="I23" s="391">
        <v>22385</v>
      </c>
      <c r="J23" s="108" t="s">
        <v>1384</v>
      </c>
      <c r="K23" s="391" t="s">
        <v>1384</v>
      </c>
      <c r="L23" s="407" t="s">
        <v>1384</v>
      </c>
      <c r="M23" s="391" t="s">
        <v>1384</v>
      </c>
      <c r="N23" s="407" t="s">
        <v>1384</v>
      </c>
      <c r="O23" s="391" t="s">
        <v>1384</v>
      </c>
      <c r="P23" s="108" t="s">
        <v>1384</v>
      </c>
      <c r="Q23" s="391" t="s">
        <v>1384</v>
      </c>
      <c r="R23" s="408" t="str">
        <f t="shared" si="5"/>
        <v>-</v>
      </c>
    </row>
    <row r="24" spans="1:18" ht="26.25" customHeight="1">
      <c r="A24" s="200"/>
      <c r="B24" s="201" t="s">
        <v>1481</v>
      </c>
      <c r="C24" s="165" t="s">
        <v>1400</v>
      </c>
      <c r="D24" s="407" t="s">
        <v>1384</v>
      </c>
      <c r="E24" s="391" t="s">
        <v>1384</v>
      </c>
      <c r="F24" s="408" t="s">
        <v>1384</v>
      </c>
      <c r="G24" s="147" t="s">
        <v>1384</v>
      </c>
      <c r="H24" s="391" t="s">
        <v>1384</v>
      </c>
      <c r="I24" s="391">
        <v>44065</v>
      </c>
      <c r="J24" s="108" t="s">
        <v>1384</v>
      </c>
      <c r="K24" s="391" t="s">
        <v>1384</v>
      </c>
      <c r="L24" s="407">
        <v>1</v>
      </c>
      <c r="M24" s="391">
        <v>26</v>
      </c>
      <c r="N24" s="407" t="s">
        <v>1384</v>
      </c>
      <c r="O24" s="391" t="s">
        <v>1384</v>
      </c>
      <c r="P24" s="108" t="s">
        <v>1384</v>
      </c>
      <c r="Q24" s="391" t="s">
        <v>1384</v>
      </c>
      <c r="R24" s="408">
        <f t="shared" si="5"/>
        <v>1</v>
      </c>
    </row>
    <row r="25" spans="1:18" ht="12" customHeight="1">
      <c r="A25" s="914" t="s">
        <v>1266</v>
      </c>
      <c r="B25" s="388">
        <v>3</v>
      </c>
      <c r="C25" s="1312" t="s">
        <v>1402</v>
      </c>
      <c r="D25" s="316">
        <f t="shared" ref="D25:I25" si="6">SUM(D26:D31)</f>
        <v>5</v>
      </c>
      <c r="E25" s="388">
        <f t="shared" si="6"/>
        <v>42</v>
      </c>
      <c r="F25" s="253">
        <f t="shared" si="6"/>
        <v>674</v>
      </c>
      <c r="G25" s="1309">
        <f t="shared" si="6"/>
        <v>708</v>
      </c>
      <c r="H25" s="388">
        <f t="shared" si="6"/>
        <v>682</v>
      </c>
      <c r="I25" s="388">
        <f t="shared" si="6"/>
        <v>216292</v>
      </c>
      <c r="J25" s="355" t="str">
        <f>IF(SUM(J26:J31)=0,"-",SUM(J26:J31))</f>
        <v>-</v>
      </c>
      <c r="K25" s="388" t="str">
        <f t="shared" ref="K25:R25" si="7">IF(SUM(K26:K31)=0,"-",SUM(K26:K31))</f>
        <v>-</v>
      </c>
      <c r="L25" s="316">
        <f t="shared" si="7"/>
        <v>1</v>
      </c>
      <c r="M25" s="388">
        <f t="shared" si="7"/>
        <v>14</v>
      </c>
      <c r="N25" s="316" t="str">
        <f t="shared" si="7"/>
        <v>-</v>
      </c>
      <c r="O25" s="388" t="str">
        <f t="shared" si="7"/>
        <v>-</v>
      </c>
      <c r="P25" s="355">
        <f t="shared" si="7"/>
        <v>3</v>
      </c>
      <c r="Q25" s="388" t="str">
        <f t="shared" si="7"/>
        <v>-</v>
      </c>
      <c r="R25" s="253">
        <f t="shared" si="7"/>
        <v>4</v>
      </c>
    </row>
    <row r="26" spans="1:18" ht="12" customHeight="1">
      <c r="A26" s="200"/>
      <c r="B26" s="1878" t="s">
        <v>133</v>
      </c>
      <c r="C26" s="165" t="s">
        <v>1269</v>
      </c>
      <c r="D26" s="407">
        <v>1</v>
      </c>
      <c r="E26" s="391">
        <v>9</v>
      </c>
      <c r="F26" s="408">
        <v>127</v>
      </c>
      <c r="G26" s="147">
        <v>140</v>
      </c>
      <c r="H26" s="391">
        <v>136</v>
      </c>
      <c r="I26" s="391">
        <v>40659</v>
      </c>
      <c r="J26" s="108" t="s">
        <v>1384</v>
      </c>
      <c r="K26" s="391" t="s">
        <v>1384</v>
      </c>
      <c r="L26" s="407" t="s">
        <v>1384</v>
      </c>
      <c r="M26" s="391" t="s">
        <v>1384</v>
      </c>
      <c r="N26" s="407" t="s">
        <v>1384</v>
      </c>
      <c r="O26" s="391" t="s">
        <v>1384</v>
      </c>
      <c r="P26" s="108">
        <v>1</v>
      </c>
      <c r="Q26" s="391" t="s">
        <v>1384</v>
      </c>
      <c r="R26" s="408">
        <f t="shared" ref="R26:R31" si="8">IF(SUM(J26,L26,N26,P26,Q26)=0,"-",SUM(J26,L26,N26,P26,Q26))</f>
        <v>1</v>
      </c>
    </row>
    <row r="27" spans="1:18" ht="12" customHeight="1">
      <c r="A27" s="200"/>
      <c r="B27" s="1878"/>
      <c r="C27" s="165" t="s">
        <v>1270</v>
      </c>
      <c r="D27" s="407">
        <v>1</v>
      </c>
      <c r="E27" s="391">
        <v>7</v>
      </c>
      <c r="F27" s="408">
        <v>124</v>
      </c>
      <c r="G27" s="147">
        <v>151</v>
      </c>
      <c r="H27" s="391">
        <v>144</v>
      </c>
      <c r="I27" s="391">
        <v>40105</v>
      </c>
      <c r="J27" s="108" t="s">
        <v>1384</v>
      </c>
      <c r="K27" s="391" t="s">
        <v>1384</v>
      </c>
      <c r="L27" s="407" t="s">
        <v>1384</v>
      </c>
      <c r="M27" s="391" t="s">
        <v>1384</v>
      </c>
      <c r="N27" s="407" t="s">
        <v>1384</v>
      </c>
      <c r="O27" s="391" t="s">
        <v>1384</v>
      </c>
      <c r="P27" s="108" t="s">
        <v>1384</v>
      </c>
      <c r="Q27" s="391" t="s">
        <v>1384</v>
      </c>
      <c r="R27" s="408" t="str">
        <f t="shared" si="8"/>
        <v>-</v>
      </c>
    </row>
    <row r="28" spans="1:18" ht="12" customHeight="1">
      <c r="A28" s="200"/>
      <c r="B28" s="1311" t="s">
        <v>1408</v>
      </c>
      <c r="C28" s="165" t="s">
        <v>1412</v>
      </c>
      <c r="D28" s="407">
        <v>1</v>
      </c>
      <c r="E28" s="391">
        <v>10</v>
      </c>
      <c r="F28" s="408">
        <v>167</v>
      </c>
      <c r="G28" s="147">
        <v>167</v>
      </c>
      <c r="H28" s="391">
        <v>164</v>
      </c>
      <c r="I28" s="391">
        <v>54750</v>
      </c>
      <c r="J28" s="108" t="s">
        <v>1384</v>
      </c>
      <c r="K28" s="391" t="s">
        <v>1384</v>
      </c>
      <c r="L28" s="407" t="s">
        <v>1384</v>
      </c>
      <c r="M28" s="391" t="s">
        <v>1384</v>
      </c>
      <c r="N28" s="407" t="s">
        <v>1384</v>
      </c>
      <c r="O28" s="391" t="s">
        <v>1384</v>
      </c>
      <c r="P28" s="108">
        <v>2</v>
      </c>
      <c r="Q28" s="391" t="s">
        <v>1384</v>
      </c>
      <c r="R28" s="408">
        <f t="shared" si="8"/>
        <v>2</v>
      </c>
    </row>
    <row r="29" spans="1:18" ht="12" customHeight="1">
      <c r="A29" s="200"/>
      <c r="B29" s="1878" t="s">
        <v>1403</v>
      </c>
      <c r="C29" s="165" t="s">
        <v>1413</v>
      </c>
      <c r="D29" s="407">
        <v>1</v>
      </c>
      <c r="E29" s="391">
        <v>8</v>
      </c>
      <c r="F29" s="408">
        <v>122</v>
      </c>
      <c r="G29" s="147">
        <v>133</v>
      </c>
      <c r="H29" s="391">
        <v>123</v>
      </c>
      <c r="I29" s="391">
        <v>35273</v>
      </c>
      <c r="J29" s="108" t="s">
        <v>1384</v>
      </c>
      <c r="K29" s="391" t="s">
        <v>1384</v>
      </c>
      <c r="L29" s="407" t="s">
        <v>1384</v>
      </c>
      <c r="M29" s="391" t="s">
        <v>1384</v>
      </c>
      <c r="N29" s="407" t="s">
        <v>1384</v>
      </c>
      <c r="O29" s="391" t="s">
        <v>1384</v>
      </c>
      <c r="P29" s="108" t="s">
        <v>1384</v>
      </c>
      <c r="Q29" s="391" t="s">
        <v>1384</v>
      </c>
      <c r="R29" s="408" t="str">
        <f t="shared" si="8"/>
        <v>-</v>
      </c>
    </row>
    <row r="30" spans="1:18" ht="12" customHeight="1">
      <c r="A30" s="200"/>
      <c r="B30" s="1878"/>
      <c r="C30" s="165" t="s">
        <v>1414</v>
      </c>
      <c r="D30" s="407">
        <v>1</v>
      </c>
      <c r="E30" s="391">
        <v>8</v>
      </c>
      <c r="F30" s="408">
        <v>134</v>
      </c>
      <c r="G30" s="147">
        <v>117</v>
      </c>
      <c r="H30" s="391">
        <v>115</v>
      </c>
      <c r="I30" s="391">
        <v>39034</v>
      </c>
      <c r="J30" s="108" t="s">
        <v>1384</v>
      </c>
      <c r="K30" s="391" t="s">
        <v>1384</v>
      </c>
      <c r="L30" s="407" t="s">
        <v>1384</v>
      </c>
      <c r="M30" s="391" t="s">
        <v>1384</v>
      </c>
      <c r="N30" s="407" t="s">
        <v>1384</v>
      </c>
      <c r="O30" s="391" t="s">
        <v>1384</v>
      </c>
      <c r="P30" s="108" t="s">
        <v>1384</v>
      </c>
      <c r="Q30" s="391" t="s">
        <v>1384</v>
      </c>
      <c r="R30" s="408" t="str">
        <f t="shared" si="8"/>
        <v>-</v>
      </c>
    </row>
    <row r="31" spans="1:18" ht="12" customHeight="1">
      <c r="A31" s="200"/>
      <c r="B31" s="1878"/>
      <c r="C31" s="165" t="s">
        <v>1415</v>
      </c>
      <c r="D31" s="407" t="s">
        <v>1384</v>
      </c>
      <c r="E31" s="391" t="s">
        <v>1384</v>
      </c>
      <c r="F31" s="408" t="s">
        <v>1384</v>
      </c>
      <c r="G31" s="147" t="s">
        <v>1384</v>
      </c>
      <c r="H31" s="391" t="s">
        <v>1384</v>
      </c>
      <c r="I31" s="391">
        <v>6471</v>
      </c>
      <c r="J31" s="108" t="s">
        <v>1384</v>
      </c>
      <c r="K31" s="391" t="s">
        <v>1384</v>
      </c>
      <c r="L31" s="407">
        <v>1</v>
      </c>
      <c r="M31" s="391">
        <v>14</v>
      </c>
      <c r="N31" s="407" t="s">
        <v>1384</v>
      </c>
      <c r="O31" s="391" t="s">
        <v>1384</v>
      </c>
      <c r="P31" s="108" t="s">
        <v>1384</v>
      </c>
      <c r="Q31" s="391" t="s">
        <v>1384</v>
      </c>
      <c r="R31" s="408">
        <f t="shared" si="8"/>
        <v>1</v>
      </c>
    </row>
    <row r="32" spans="1:18" ht="12" customHeight="1">
      <c r="A32" s="914" t="s">
        <v>1271</v>
      </c>
      <c r="B32" s="388">
        <v>10</v>
      </c>
      <c r="C32" s="1312" t="s">
        <v>1417</v>
      </c>
      <c r="D32" s="316">
        <f t="shared" ref="D32:I32" si="9">SUM(D33:D43)</f>
        <v>8</v>
      </c>
      <c r="E32" s="388">
        <f t="shared" si="9"/>
        <v>61</v>
      </c>
      <c r="F32" s="253">
        <f t="shared" si="9"/>
        <v>943</v>
      </c>
      <c r="G32" s="1309">
        <f t="shared" si="9"/>
        <v>1155</v>
      </c>
      <c r="H32" s="1213">
        <v>1129</v>
      </c>
      <c r="I32" s="1213">
        <f t="shared" si="9"/>
        <v>292614</v>
      </c>
      <c r="J32" s="355" t="str">
        <f t="shared" ref="J32:R32" si="10">IF(SUM(J33:J43)=0,"-",SUM(J33:J43))</f>
        <v>-</v>
      </c>
      <c r="K32" s="388" t="str">
        <f t="shared" si="10"/>
        <v>-</v>
      </c>
      <c r="L32" s="316">
        <f t="shared" si="10"/>
        <v>1</v>
      </c>
      <c r="M32" s="388">
        <f t="shared" si="10"/>
        <v>20</v>
      </c>
      <c r="N32" s="316" t="str">
        <f t="shared" si="10"/>
        <v>-</v>
      </c>
      <c r="O32" s="388" t="str">
        <f t="shared" si="10"/>
        <v>-</v>
      </c>
      <c r="P32" s="355">
        <f t="shared" si="10"/>
        <v>2</v>
      </c>
      <c r="Q32" s="388" t="str">
        <f t="shared" si="10"/>
        <v>-</v>
      </c>
      <c r="R32" s="253">
        <f t="shared" si="10"/>
        <v>3</v>
      </c>
    </row>
    <row r="33" spans="1:20" ht="12" customHeight="1">
      <c r="A33" s="200"/>
      <c r="B33" s="1311" t="s">
        <v>1418</v>
      </c>
      <c r="C33" s="165" t="s">
        <v>1419</v>
      </c>
      <c r="D33" s="407">
        <v>1</v>
      </c>
      <c r="E33" s="391">
        <v>6</v>
      </c>
      <c r="F33" s="408">
        <v>93</v>
      </c>
      <c r="G33" s="147">
        <v>42</v>
      </c>
      <c r="H33" s="448">
        <v>42</v>
      </c>
      <c r="I33" s="391">
        <v>27554</v>
      </c>
      <c r="J33" s="108" t="s">
        <v>1384</v>
      </c>
      <c r="K33" s="391" t="s">
        <v>1384</v>
      </c>
      <c r="L33" s="407" t="s">
        <v>1384</v>
      </c>
      <c r="M33" s="391" t="s">
        <v>1384</v>
      </c>
      <c r="N33" s="407" t="s">
        <v>1384</v>
      </c>
      <c r="O33" s="391" t="s">
        <v>1384</v>
      </c>
      <c r="P33" s="108" t="s">
        <v>1384</v>
      </c>
      <c r="Q33" s="391" t="s">
        <v>1384</v>
      </c>
      <c r="R33" s="408" t="str">
        <f t="shared" ref="R33:R43" si="11">IF(SUM(J33,L33,N33,P33,Q33)=0,"-",SUM(J33,L33,N33,P33,Q33))</f>
        <v>-</v>
      </c>
    </row>
    <row r="34" spans="1:20" ht="12" customHeight="1">
      <c r="A34" s="200"/>
      <c r="B34" s="1521" t="s">
        <v>1656</v>
      </c>
      <c r="C34" s="165" t="s">
        <v>1420</v>
      </c>
      <c r="D34" s="407">
        <v>1</v>
      </c>
      <c r="E34" s="391">
        <v>5</v>
      </c>
      <c r="F34" s="408">
        <v>90</v>
      </c>
      <c r="G34" s="147">
        <v>99</v>
      </c>
      <c r="H34" s="448">
        <v>97</v>
      </c>
      <c r="I34" s="391">
        <v>27260</v>
      </c>
      <c r="J34" s="108" t="s">
        <v>1384</v>
      </c>
      <c r="K34" s="391" t="s">
        <v>1384</v>
      </c>
      <c r="L34" s="407" t="s">
        <v>1384</v>
      </c>
      <c r="M34" s="391" t="s">
        <v>1384</v>
      </c>
      <c r="N34" s="407" t="s">
        <v>1384</v>
      </c>
      <c r="O34" s="391" t="s">
        <v>1384</v>
      </c>
      <c r="P34" s="108" t="s">
        <v>1384</v>
      </c>
      <c r="Q34" s="391" t="s">
        <v>1384</v>
      </c>
      <c r="R34" s="408" t="str">
        <f t="shared" si="11"/>
        <v>-</v>
      </c>
    </row>
    <row r="35" spans="1:20" ht="12" customHeight="1">
      <c r="A35" s="200"/>
      <c r="B35" s="1311" t="s">
        <v>1421</v>
      </c>
      <c r="C35" s="165" t="s">
        <v>1422</v>
      </c>
      <c r="D35" s="407">
        <v>1</v>
      </c>
      <c r="E35" s="391">
        <v>9</v>
      </c>
      <c r="F35" s="408">
        <v>142</v>
      </c>
      <c r="G35" s="147">
        <v>168</v>
      </c>
      <c r="H35" s="448">
        <v>167</v>
      </c>
      <c r="I35" s="391">
        <v>45285</v>
      </c>
      <c r="J35" s="108" t="s">
        <v>1384</v>
      </c>
      <c r="K35" s="391" t="s">
        <v>1384</v>
      </c>
      <c r="L35" s="407" t="s">
        <v>1384</v>
      </c>
      <c r="M35" s="391" t="s">
        <v>1384</v>
      </c>
      <c r="N35" s="407" t="s">
        <v>1384</v>
      </c>
      <c r="O35" s="391" t="s">
        <v>1384</v>
      </c>
      <c r="P35" s="108" t="s">
        <v>1384</v>
      </c>
      <c r="Q35" s="391" t="s">
        <v>1384</v>
      </c>
      <c r="R35" s="408" t="str">
        <f t="shared" si="11"/>
        <v>-</v>
      </c>
    </row>
    <row r="36" spans="1:20" ht="12" customHeight="1">
      <c r="A36" s="200"/>
      <c r="B36" s="1311" t="s">
        <v>1631</v>
      </c>
      <c r="C36" s="1880" t="s">
        <v>1423</v>
      </c>
      <c r="D36" s="1861">
        <v>1</v>
      </c>
      <c r="E36" s="1861">
        <v>9</v>
      </c>
      <c r="F36" s="1861">
        <v>125</v>
      </c>
      <c r="G36" s="1861">
        <v>150</v>
      </c>
      <c r="H36" s="1879">
        <v>137</v>
      </c>
      <c r="I36" s="1861">
        <v>34648</v>
      </c>
      <c r="J36" s="1862" t="s">
        <v>1384</v>
      </c>
      <c r="K36" s="1861" t="s">
        <v>1384</v>
      </c>
      <c r="L36" s="1861" t="s">
        <v>1384</v>
      </c>
      <c r="M36" s="1861" t="s">
        <v>1384</v>
      </c>
      <c r="N36" s="1861" t="s">
        <v>1384</v>
      </c>
      <c r="O36" s="1861" t="s">
        <v>1384</v>
      </c>
      <c r="P36" s="1861">
        <v>1</v>
      </c>
      <c r="Q36" s="1861" t="s">
        <v>1384</v>
      </c>
      <c r="R36" s="1861">
        <f t="shared" si="11"/>
        <v>1</v>
      </c>
    </row>
    <row r="37" spans="1:20" ht="12" customHeight="1">
      <c r="A37" s="200"/>
      <c r="B37" s="1311" t="s">
        <v>1424</v>
      </c>
      <c r="C37" s="1880"/>
      <c r="D37" s="1861"/>
      <c r="E37" s="1861"/>
      <c r="F37" s="1861"/>
      <c r="G37" s="1861"/>
      <c r="H37" s="1879"/>
      <c r="I37" s="1861"/>
      <c r="J37" s="1862"/>
      <c r="K37" s="1861"/>
      <c r="L37" s="1861"/>
      <c r="M37" s="1861"/>
      <c r="N37" s="1861"/>
      <c r="O37" s="1861"/>
      <c r="P37" s="1861"/>
      <c r="Q37" s="1861"/>
      <c r="R37" s="1861"/>
    </row>
    <row r="38" spans="1:20" ht="24" customHeight="1">
      <c r="A38" s="200"/>
      <c r="B38" s="201" t="s">
        <v>1170</v>
      </c>
      <c r="C38" s="1880"/>
      <c r="D38" s="1861"/>
      <c r="E38" s="1861"/>
      <c r="F38" s="1861"/>
      <c r="G38" s="1861"/>
      <c r="H38" s="1879"/>
      <c r="I38" s="1861"/>
      <c r="J38" s="1862"/>
      <c r="K38" s="1861"/>
      <c r="L38" s="1861"/>
      <c r="M38" s="1861"/>
      <c r="N38" s="1861"/>
      <c r="O38" s="1861"/>
      <c r="P38" s="1861"/>
      <c r="Q38" s="1861"/>
      <c r="R38" s="1861"/>
    </row>
    <row r="39" spans="1:20" ht="12" customHeight="1">
      <c r="A39" s="200"/>
      <c r="B39" s="1311" t="s">
        <v>1631</v>
      </c>
      <c r="C39" s="1199" t="s">
        <v>1425</v>
      </c>
      <c r="D39" s="391">
        <v>1</v>
      </c>
      <c r="E39" s="391">
        <v>8</v>
      </c>
      <c r="F39" s="391">
        <v>119</v>
      </c>
      <c r="G39" s="391">
        <v>137</v>
      </c>
      <c r="H39" s="448">
        <v>134</v>
      </c>
      <c r="I39" s="391">
        <v>31612</v>
      </c>
      <c r="J39" s="391" t="s">
        <v>1384</v>
      </c>
      <c r="K39" s="391" t="s">
        <v>1384</v>
      </c>
      <c r="L39" s="391" t="s">
        <v>1384</v>
      </c>
      <c r="M39" s="391" t="s">
        <v>1384</v>
      </c>
      <c r="N39" s="391" t="s">
        <v>1384</v>
      </c>
      <c r="O39" s="391" t="s">
        <v>1384</v>
      </c>
      <c r="P39" s="391" t="s">
        <v>1384</v>
      </c>
      <c r="Q39" s="391" t="s">
        <v>1384</v>
      </c>
      <c r="R39" s="391" t="str">
        <f t="shared" si="11"/>
        <v>-</v>
      </c>
    </row>
    <row r="40" spans="1:20" ht="12" customHeight="1">
      <c r="A40" s="200"/>
      <c r="B40" s="1522" t="s">
        <v>1657</v>
      </c>
      <c r="C40" s="165" t="s">
        <v>1426</v>
      </c>
      <c r="D40" s="407">
        <v>1</v>
      </c>
      <c r="E40" s="391">
        <v>8</v>
      </c>
      <c r="F40" s="408">
        <v>129</v>
      </c>
      <c r="G40" s="147">
        <v>225</v>
      </c>
      <c r="H40" s="448">
        <v>221</v>
      </c>
      <c r="I40" s="391">
        <v>37073</v>
      </c>
      <c r="J40" s="108" t="s">
        <v>1384</v>
      </c>
      <c r="K40" s="391" t="s">
        <v>1384</v>
      </c>
      <c r="L40" s="407" t="s">
        <v>1384</v>
      </c>
      <c r="M40" s="391" t="s">
        <v>1384</v>
      </c>
      <c r="N40" s="407" t="s">
        <v>1384</v>
      </c>
      <c r="O40" s="391" t="s">
        <v>1384</v>
      </c>
      <c r="P40" s="108" t="s">
        <v>1384</v>
      </c>
      <c r="Q40" s="391" t="s">
        <v>1384</v>
      </c>
      <c r="R40" s="408" t="str">
        <f t="shared" si="11"/>
        <v>-</v>
      </c>
    </row>
    <row r="41" spans="1:20" ht="12" customHeight="1">
      <c r="A41" s="200"/>
      <c r="B41" s="1873" t="s">
        <v>1655</v>
      </c>
      <c r="C41" s="255" t="s">
        <v>263</v>
      </c>
      <c r="D41" s="407">
        <v>1</v>
      </c>
      <c r="E41" s="391">
        <v>8</v>
      </c>
      <c r="F41" s="408">
        <v>128</v>
      </c>
      <c r="G41" s="147">
        <v>169</v>
      </c>
      <c r="H41" s="448" t="s">
        <v>1066</v>
      </c>
      <c r="I41" s="391">
        <v>38080</v>
      </c>
      <c r="J41" s="408" t="s">
        <v>1384</v>
      </c>
      <c r="K41" s="391" t="s">
        <v>1384</v>
      </c>
      <c r="L41" s="407" t="s">
        <v>1384</v>
      </c>
      <c r="M41" s="391" t="s">
        <v>1384</v>
      </c>
      <c r="N41" s="407" t="s">
        <v>1384</v>
      </c>
      <c r="O41" s="391" t="s">
        <v>1384</v>
      </c>
      <c r="P41" s="108">
        <v>1</v>
      </c>
      <c r="Q41" s="391" t="s">
        <v>1384</v>
      </c>
      <c r="R41" s="408">
        <f t="shared" si="11"/>
        <v>1</v>
      </c>
    </row>
    <row r="42" spans="1:20" ht="12.75" customHeight="1">
      <c r="A42" s="200"/>
      <c r="B42" s="1873"/>
      <c r="C42" s="165" t="s">
        <v>1427</v>
      </c>
      <c r="D42" s="407" t="s">
        <v>1384</v>
      </c>
      <c r="E42" s="391" t="s">
        <v>1384</v>
      </c>
      <c r="F42" s="391" t="s">
        <v>1384</v>
      </c>
      <c r="G42" s="147" t="s">
        <v>1384</v>
      </c>
      <c r="H42" s="448" t="s">
        <v>1384</v>
      </c>
      <c r="I42" s="391">
        <v>16760</v>
      </c>
      <c r="J42" s="408" t="s">
        <v>1384</v>
      </c>
      <c r="K42" s="391" t="s">
        <v>1384</v>
      </c>
      <c r="L42" s="407">
        <v>1</v>
      </c>
      <c r="M42" s="391">
        <v>20</v>
      </c>
      <c r="N42" s="407" t="s">
        <v>1384</v>
      </c>
      <c r="O42" s="391" t="s">
        <v>1384</v>
      </c>
      <c r="P42" s="108" t="s">
        <v>1384</v>
      </c>
      <c r="Q42" s="391" t="s">
        <v>1384</v>
      </c>
      <c r="R42" s="408">
        <f t="shared" si="11"/>
        <v>1</v>
      </c>
    </row>
    <row r="43" spans="1:20" ht="12" customHeight="1">
      <c r="A43" s="200"/>
      <c r="B43" s="1311" t="s">
        <v>1428</v>
      </c>
      <c r="C43" s="165" t="s">
        <v>1429</v>
      </c>
      <c r="D43" s="407">
        <v>1</v>
      </c>
      <c r="E43" s="391">
        <v>8</v>
      </c>
      <c r="F43" s="408">
        <v>117</v>
      </c>
      <c r="G43" s="147">
        <v>165</v>
      </c>
      <c r="H43" s="448" t="s">
        <v>1066</v>
      </c>
      <c r="I43" s="391">
        <v>34342</v>
      </c>
      <c r="J43" s="408" t="s">
        <v>1384</v>
      </c>
      <c r="K43" s="391" t="s">
        <v>1384</v>
      </c>
      <c r="L43" s="407" t="s">
        <v>1384</v>
      </c>
      <c r="M43" s="391" t="s">
        <v>1384</v>
      </c>
      <c r="N43" s="407" t="s">
        <v>1384</v>
      </c>
      <c r="O43" s="391" t="s">
        <v>1384</v>
      </c>
      <c r="P43" s="108" t="s">
        <v>1384</v>
      </c>
      <c r="Q43" s="391" t="s">
        <v>1384</v>
      </c>
      <c r="R43" s="408" t="str">
        <f t="shared" si="11"/>
        <v>-</v>
      </c>
    </row>
    <row r="44" spans="1:20" ht="12" customHeight="1">
      <c r="A44" s="741" t="s">
        <v>1629</v>
      </c>
      <c r="B44" s="275">
        <f>SUM(B32,B25,B18,B8)</f>
        <v>25</v>
      </c>
      <c r="C44" s="275" t="s">
        <v>1430</v>
      </c>
      <c r="D44" s="276">
        <f t="shared" ref="D44:I44" si="12">SUM(D8,D18,D25,D32)</f>
        <v>25</v>
      </c>
      <c r="E44" s="275">
        <f t="shared" si="12"/>
        <v>223</v>
      </c>
      <c r="F44" s="139">
        <f t="shared" si="12"/>
        <v>3378</v>
      </c>
      <c r="G44" s="275">
        <f t="shared" si="12"/>
        <v>3035</v>
      </c>
      <c r="H44" s="771">
        <v>2929</v>
      </c>
      <c r="I44" s="275">
        <f t="shared" si="12"/>
        <v>1114170</v>
      </c>
      <c r="J44" s="139" t="str">
        <f t="shared" ref="J44:R44" si="13">IF(SUM(J8,J18,J25,J32)=0,"-",SUM(J8,J18,J25,J32))</f>
        <v>-</v>
      </c>
      <c r="K44" s="275" t="str">
        <f t="shared" si="13"/>
        <v>-</v>
      </c>
      <c r="L44" s="276">
        <f t="shared" si="13"/>
        <v>5</v>
      </c>
      <c r="M44" s="275">
        <f t="shared" si="13"/>
        <v>97</v>
      </c>
      <c r="N44" s="276" t="str">
        <f t="shared" si="13"/>
        <v>-</v>
      </c>
      <c r="O44" s="275" t="str">
        <f t="shared" si="13"/>
        <v>-</v>
      </c>
      <c r="P44" s="138">
        <f t="shared" si="13"/>
        <v>20</v>
      </c>
      <c r="Q44" s="275" t="str">
        <f t="shared" si="13"/>
        <v>-</v>
      </c>
      <c r="R44" s="139">
        <f t="shared" si="13"/>
        <v>25</v>
      </c>
    </row>
    <row r="45" spans="1:20" ht="12.75" customHeight="1">
      <c r="A45" s="1446" t="s">
        <v>0</v>
      </c>
      <c r="B45" s="1313"/>
      <c r="C45" s="1313"/>
      <c r="N45" s="1314" t="s">
        <v>455</v>
      </c>
      <c r="O45" s="1315" t="s">
        <v>1236</v>
      </c>
      <c r="S45" s="1316"/>
    </row>
    <row r="46" spans="1:20" ht="11.25" customHeight="1">
      <c r="A46" s="1876" t="s">
        <v>1</v>
      </c>
      <c r="B46" s="1876"/>
      <c r="C46" s="1876"/>
      <c r="D46" s="1876"/>
      <c r="E46" s="1876"/>
      <c r="F46" s="1876"/>
      <c r="G46" s="1876"/>
      <c r="H46" s="1876"/>
      <c r="J46" s="1875" t="s">
        <v>1103</v>
      </c>
      <c r="K46" s="1875"/>
      <c r="M46" s="1318"/>
      <c r="N46" s="1314" t="s">
        <v>456</v>
      </c>
      <c r="O46" s="1877" t="s">
        <v>121</v>
      </c>
      <c r="P46" s="1877"/>
      <c r="Q46" s="1877"/>
      <c r="R46" s="1877"/>
      <c r="S46" s="1315"/>
      <c r="T46" s="1315"/>
    </row>
    <row r="47" spans="1:20" ht="14.25" customHeight="1">
      <c r="A47" s="1876"/>
      <c r="B47" s="1876"/>
      <c r="C47" s="1876"/>
      <c r="D47" s="1876"/>
      <c r="E47" s="1876"/>
      <c r="F47" s="1876"/>
      <c r="G47" s="1876"/>
      <c r="H47" s="1876"/>
      <c r="I47" s="1874" t="s">
        <v>1658</v>
      </c>
      <c r="J47" s="1874"/>
      <c r="K47" s="1874"/>
      <c r="L47" s="1874"/>
      <c r="O47" s="1877"/>
      <c r="P47" s="1877"/>
      <c r="Q47" s="1877"/>
      <c r="R47" s="1877"/>
      <c r="S47" s="1315"/>
      <c r="T47" s="1315"/>
    </row>
    <row r="48" spans="1:20">
      <c r="K48" s="1307"/>
    </row>
    <row r="62" spans="1:18">
      <c r="A62" s="1307"/>
      <c r="B62" s="1307"/>
      <c r="C62" s="1307"/>
      <c r="D62" s="1307"/>
      <c r="E62" s="1307"/>
      <c r="F62" s="1307"/>
      <c r="G62" s="1307"/>
      <c r="H62" s="1307"/>
      <c r="I62" s="1307"/>
      <c r="J62" s="1307"/>
      <c r="K62" s="1307"/>
      <c r="L62" s="1307"/>
      <c r="M62" s="1307"/>
      <c r="N62" s="1307"/>
      <c r="O62" s="1307"/>
      <c r="P62" s="1307"/>
      <c r="Q62" s="1307"/>
      <c r="R62" s="1307"/>
    </row>
    <row r="63" spans="1:18">
      <c r="A63" s="1307"/>
      <c r="B63" s="1307"/>
      <c r="C63" s="1307"/>
      <c r="D63" s="1307"/>
      <c r="E63" s="1307"/>
      <c r="F63" s="1307"/>
      <c r="G63" s="1307"/>
      <c r="H63" s="1307"/>
      <c r="I63" s="1307"/>
      <c r="J63" s="1307"/>
      <c r="K63" s="1307"/>
      <c r="L63" s="1307"/>
      <c r="M63" s="1307"/>
      <c r="N63" s="1307"/>
      <c r="O63" s="1307"/>
      <c r="P63" s="1307"/>
      <c r="Q63" s="1307"/>
      <c r="R63" s="1307"/>
    </row>
    <row r="64" spans="1:18">
      <c r="A64" s="1307"/>
      <c r="B64" s="1307"/>
      <c r="C64" s="1307"/>
      <c r="D64" s="1307"/>
      <c r="E64" s="1307"/>
      <c r="F64" s="1307"/>
      <c r="G64" s="1307"/>
      <c r="H64" s="1307"/>
      <c r="I64" s="1307"/>
      <c r="J64" s="1307"/>
      <c r="K64" s="1307"/>
      <c r="L64" s="1307"/>
      <c r="M64" s="1307"/>
      <c r="N64" s="1307"/>
      <c r="O64" s="1307"/>
      <c r="P64" s="1307"/>
      <c r="Q64" s="1307"/>
      <c r="R64" s="1307"/>
    </row>
  </sheetData>
  <mergeCells count="45">
    <mergeCell ref="B9:B10"/>
    <mergeCell ref="H36:H38"/>
    <mergeCell ref="O36:O38"/>
    <mergeCell ref="P36:P38"/>
    <mergeCell ref="E36:E38"/>
    <mergeCell ref="F36:F38"/>
    <mergeCell ref="C36:C38"/>
    <mergeCell ref="D36:D38"/>
    <mergeCell ref="G36:G38"/>
    <mergeCell ref="B13:B14"/>
    <mergeCell ref="B11:B12"/>
    <mergeCell ref="B29:B31"/>
    <mergeCell ref="B26:B27"/>
    <mergeCell ref="B20:B21"/>
    <mergeCell ref="B41:B42"/>
    <mergeCell ref="I47:L47"/>
    <mergeCell ref="J46:K46"/>
    <mergeCell ref="A46:H47"/>
    <mergeCell ref="O46:R47"/>
    <mergeCell ref="A1:R1"/>
    <mergeCell ref="A4:A6"/>
    <mergeCell ref="A2:R2"/>
    <mergeCell ref="G3:J3"/>
    <mergeCell ref="R5:R6"/>
    <mergeCell ref="G4:G5"/>
    <mergeCell ref="F5:F6"/>
    <mergeCell ref="E5:E6"/>
    <mergeCell ref="N5:O5"/>
    <mergeCell ref="H4:H5"/>
    <mergeCell ref="J4:R4"/>
    <mergeCell ref="B4:B6"/>
    <mergeCell ref="C4:C6"/>
    <mergeCell ref="D4:F4"/>
    <mergeCell ref="L5:M5"/>
    <mergeCell ref="J5:K5"/>
    <mergeCell ref="I4:I5"/>
    <mergeCell ref="D5:D6"/>
    <mergeCell ref="R36:R38"/>
    <mergeCell ref="I36:I38"/>
    <mergeCell ref="J36:J38"/>
    <mergeCell ref="K36:K38"/>
    <mergeCell ref="L36:L38"/>
    <mergeCell ref="M36:M38"/>
    <mergeCell ref="N36:N38"/>
    <mergeCell ref="Q36:Q38"/>
  </mergeCells>
  <phoneticPr fontId="0" type="noConversion"/>
  <printOptions horizontalCentered="1" verticalCentered="1"/>
  <pageMargins left="0.21" right="0.1" top="0.17" bottom="0.1" header="0.1" footer="0.1"/>
  <pageSetup paperSize="9" scale="90" orientation="landscape" blackAndWhite="1" r:id="rId1"/>
  <headerFooter alignWithMargins="0"/>
  <drawing r:id="rId2"/>
</worksheet>
</file>

<file path=xl/worksheets/sheet80.xml><?xml version="1.0" encoding="utf-8"?>
<worksheet xmlns="http://schemas.openxmlformats.org/spreadsheetml/2006/main" xmlns:r="http://schemas.openxmlformats.org/officeDocument/2006/relationships">
  <dimension ref="A1:I45"/>
  <sheetViews>
    <sheetView workbookViewId="0">
      <selection activeCell="K35" sqref="K35"/>
    </sheetView>
  </sheetViews>
  <sheetFormatPr defaultRowHeight="12.75"/>
  <cols>
    <col min="1" max="1" width="5.7109375" customWidth="1"/>
    <col min="2" max="2" width="17.5703125" customWidth="1"/>
    <col min="3" max="3" width="15.7109375" customWidth="1"/>
    <col min="7" max="7" width="19.140625" customWidth="1"/>
  </cols>
  <sheetData>
    <row r="1" spans="1:9" ht="20.25" customHeight="1">
      <c r="A1" s="1825" t="s">
        <v>699</v>
      </c>
      <c r="B1" s="1825"/>
      <c r="C1" s="1825"/>
      <c r="D1" s="1825"/>
      <c r="E1" s="1825"/>
      <c r="F1" s="1825"/>
      <c r="G1" s="1825"/>
    </row>
    <row r="2" spans="1:9" ht="36.75" customHeight="1">
      <c r="A2" s="2379" t="str">
        <f>CONCATENATE("Some Basic Statistics about the Blocks of ",District!$A$1," 
for the year ",District!B3)</f>
        <v>Some Basic Statistics about the Blocks of Purba Medinipur 
for the year 2013-14</v>
      </c>
      <c r="B2" s="2379"/>
      <c r="C2" s="2379"/>
      <c r="D2" s="2379"/>
      <c r="E2" s="2379"/>
      <c r="F2" s="2379"/>
      <c r="G2" s="2379"/>
    </row>
    <row r="3" spans="1:9" ht="15.95" customHeight="1">
      <c r="A3" s="1833" t="s">
        <v>166</v>
      </c>
      <c r="B3" s="1833" t="s">
        <v>27</v>
      </c>
      <c r="C3" s="1837" t="s">
        <v>596</v>
      </c>
      <c r="D3" s="1966" t="s">
        <v>28</v>
      </c>
      <c r="E3" s="1966" t="s">
        <v>29</v>
      </c>
      <c r="F3" s="1966" t="s">
        <v>30</v>
      </c>
      <c r="G3" s="1837" t="s">
        <v>31</v>
      </c>
    </row>
    <row r="4" spans="1:9" ht="15.95" customHeight="1">
      <c r="A4" s="1858"/>
      <c r="B4" s="1858"/>
      <c r="C4" s="2380"/>
      <c r="D4" s="2381"/>
      <c r="E4" s="2381"/>
      <c r="F4" s="2381"/>
      <c r="G4" s="2128"/>
    </row>
    <row r="5" spans="1:9" ht="10.5" customHeight="1">
      <c r="A5" s="1832"/>
      <c r="B5" s="1832"/>
      <c r="C5" s="1928"/>
      <c r="D5" s="2382"/>
      <c r="E5" s="2382"/>
      <c r="F5" s="2382"/>
      <c r="G5" s="1838"/>
    </row>
    <row r="6" spans="1:9" ht="15.95" customHeight="1">
      <c r="A6" s="436" t="s">
        <v>955</v>
      </c>
      <c r="B6" s="134" t="s">
        <v>956</v>
      </c>
      <c r="C6" s="135" t="s">
        <v>957</v>
      </c>
      <c r="D6" s="437" t="s">
        <v>958</v>
      </c>
      <c r="E6" s="437" t="s">
        <v>959</v>
      </c>
      <c r="F6" s="437" t="s">
        <v>961</v>
      </c>
      <c r="G6" s="134" t="s">
        <v>962</v>
      </c>
    </row>
    <row r="7" spans="1:9" ht="22.5" customHeight="1">
      <c r="A7" s="848">
        <v>1</v>
      </c>
      <c r="B7" s="598" t="s">
        <v>200</v>
      </c>
      <c r="C7" s="46">
        <v>107</v>
      </c>
      <c r="D7" s="432">
        <v>32</v>
      </c>
      <c r="E7" s="432">
        <v>24</v>
      </c>
      <c r="F7" s="432">
        <v>33</v>
      </c>
      <c r="G7" s="92">
        <v>12</v>
      </c>
    </row>
    <row r="8" spans="1:9" ht="22.5" customHeight="1">
      <c r="A8" s="788">
        <v>2</v>
      </c>
      <c r="B8" s="598" t="s">
        <v>1386</v>
      </c>
      <c r="C8" s="46">
        <v>87</v>
      </c>
      <c r="D8" s="117">
        <v>31</v>
      </c>
      <c r="E8" s="117">
        <v>9</v>
      </c>
      <c r="F8" s="117">
        <v>39</v>
      </c>
      <c r="G8" s="110">
        <v>10</v>
      </c>
    </row>
    <row r="9" spans="1:9" ht="22.5" customHeight="1">
      <c r="A9" s="788">
        <v>3</v>
      </c>
      <c r="B9" s="598" t="s">
        <v>1388</v>
      </c>
      <c r="C9" s="46">
        <v>226</v>
      </c>
      <c r="D9" s="117">
        <v>96</v>
      </c>
      <c r="E9" s="117">
        <v>11</v>
      </c>
      <c r="F9" s="117">
        <v>50</v>
      </c>
      <c r="G9" s="110">
        <v>14</v>
      </c>
    </row>
    <row r="10" spans="1:9" ht="22.5" customHeight="1">
      <c r="A10" s="788">
        <v>4</v>
      </c>
      <c r="B10" s="278" t="s">
        <v>1568</v>
      </c>
      <c r="C10" s="46">
        <v>112</v>
      </c>
      <c r="D10" s="117">
        <v>68</v>
      </c>
      <c r="E10" s="117">
        <v>15</v>
      </c>
      <c r="F10" s="117">
        <v>49</v>
      </c>
      <c r="G10" s="110">
        <v>13</v>
      </c>
    </row>
    <row r="11" spans="1:9" ht="22.5" customHeight="1">
      <c r="A11" s="788">
        <v>5</v>
      </c>
      <c r="B11" s="598" t="s">
        <v>1390</v>
      </c>
      <c r="C11" s="46">
        <v>85</v>
      </c>
      <c r="D11" s="117">
        <v>35</v>
      </c>
      <c r="E11" s="117">
        <v>8</v>
      </c>
      <c r="F11" s="117">
        <v>36</v>
      </c>
      <c r="G11" s="110">
        <v>11</v>
      </c>
    </row>
    <row r="12" spans="1:9" ht="22.5" customHeight="1">
      <c r="A12" s="788">
        <v>6</v>
      </c>
      <c r="B12" s="598" t="s">
        <v>1391</v>
      </c>
      <c r="C12" s="46">
        <v>100</v>
      </c>
      <c r="D12" s="117">
        <v>28</v>
      </c>
      <c r="E12" s="117">
        <v>12</v>
      </c>
      <c r="F12" s="117">
        <v>42</v>
      </c>
      <c r="G12" s="110">
        <v>12</v>
      </c>
      <c r="H12" s="16"/>
    </row>
    <row r="13" spans="1:9" ht="22.5" customHeight="1">
      <c r="A13" s="788">
        <v>7</v>
      </c>
      <c r="B13" s="598" t="s">
        <v>1569</v>
      </c>
      <c r="C13" s="46">
        <v>114</v>
      </c>
      <c r="D13" s="117">
        <v>23</v>
      </c>
      <c r="E13" s="117">
        <v>6</v>
      </c>
      <c r="F13" s="117">
        <v>30</v>
      </c>
      <c r="G13" s="110">
        <v>10</v>
      </c>
      <c r="H13" s="16"/>
      <c r="I13" s="16"/>
    </row>
    <row r="14" spans="1:9" ht="22.5" customHeight="1">
      <c r="A14" s="788">
        <v>8</v>
      </c>
      <c r="B14" s="598" t="s">
        <v>1393</v>
      </c>
      <c r="C14" s="46">
        <v>74</v>
      </c>
      <c r="D14" s="117">
        <v>38</v>
      </c>
      <c r="E14" s="117">
        <v>8</v>
      </c>
      <c r="F14" s="117">
        <v>32</v>
      </c>
      <c r="G14" s="110">
        <v>11</v>
      </c>
      <c r="H14" s="16"/>
    </row>
    <row r="15" spans="1:9" ht="22.5" customHeight="1">
      <c r="A15" s="788">
        <v>9</v>
      </c>
      <c r="B15" s="598" t="s">
        <v>1395</v>
      </c>
      <c r="C15" s="46">
        <v>99</v>
      </c>
      <c r="D15" s="117">
        <v>57</v>
      </c>
      <c r="E15" s="117">
        <v>12</v>
      </c>
      <c r="F15" s="117">
        <v>31</v>
      </c>
      <c r="G15" s="110">
        <v>10</v>
      </c>
      <c r="H15" s="35"/>
    </row>
    <row r="16" spans="1:9" ht="22.5" customHeight="1">
      <c r="A16" s="788">
        <v>10</v>
      </c>
      <c r="B16" s="598" t="s">
        <v>1396</v>
      </c>
      <c r="C16" s="46">
        <v>41</v>
      </c>
      <c r="D16" s="117">
        <v>21</v>
      </c>
      <c r="E16" s="117">
        <v>2</v>
      </c>
      <c r="F16" s="117">
        <v>21</v>
      </c>
      <c r="G16" s="110">
        <v>7</v>
      </c>
      <c r="H16" s="35"/>
    </row>
    <row r="17" spans="1:8" ht="22.5" customHeight="1">
      <c r="A17" s="788">
        <v>11</v>
      </c>
      <c r="B17" s="598" t="s">
        <v>1397</v>
      </c>
      <c r="C17" s="46">
        <v>80</v>
      </c>
      <c r="D17" s="117">
        <v>24</v>
      </c>
      <c r="E17" s="117">
        <v>10</v>
      </c>
      <c r="F17" s="117">
        <v>18</v>
      </c>
      <c r="G17" s="110">
        <v>6</v>
      </c>
      <c r="H17" s="35"/>
    </row>
    <row r="18" spans="1:8" ht="22.5" customHeight="1">
      <c r="A18" s="788">
        <v>12</v>
      </c>
      <c r="B18" s="598" t="s">
        <v>1399</v>
      </c>
      <c r="C18" s="46">
        <v>24</v>
      </c>
      <c r="D18" s="117">
        <v>11</v>
      </c>
      <c r="E18" s="117">
        <v>4</v>
      </c>
      <c r="F18" s="117">
        <v>14</v>
      </c>
      <c r="G18" s="110">
        <v>4</v>
      </c>
      <c r="H18" s="35"/>
    </row>
    <row r="19" spans="1:8" ht="22.5" customHeight="1">
      <c r="A19" s="788">
        <v>13</v>
      </c>
      <c r="B19" s="598" t="s">
        <v>1269</v>
      </c>
      <c r="C19" s="46">
        <v>140</v>
      </c>
      <c r="D19" s="117">
        <v>69</v>
      </c>
      <c r="E19" s="117">
        <v>4</v>
      </c>
      <c r="F19" s="117">
        <v>27</v>
      </c>
      <c r="G19" s="110">
        <v>9</v>
      </c>
      <c r="H19" s="35"/>
    </row>
    <row r="20" spans="1:8" ht="22.5" customHeight="1">
      <c r="A20" s="788">
        <v>14</v>
      </c>
      <c r="B20" s="598" t="s">
        <v>1270</v>
      </c>
      <c r="C20" s="46">
        <v>150</v>
      </c>
      <c r="D20" s="117">
        <v>134</v>
      </c>
      <c r="E20" s="117">
        <v>4</v>
      </c>
      <c r="F20" s="117">
        <v>30</v>
      </c>
      <c r="G20" s="110">
        <v>7</v>
      </c>
    </row>
    <row r="21" spans="1:8" ht="22.5" customHeight="1">
      <c r="A21" s="788">
        <v>15</v>
      </c>
      <c r="B21" s="598" t="s">
        <v>1412</v>
      </c>
      <c r="C21" s="46">
        <v>167</v>
      </c>
      <c r="D21" s="117">
        <v>47</v>
      </c>
      <c r="E21" s="117">
        <v>5</v>
      </c>
      <c r="F21" s="117">
        <v>37</v>
      </c>
      <c r="G21" s="110">
        <v>10</v>
      </c>
    </row>
    <row r="22" spans="1:8" ht="22.5" customHeight="1">
      <c r="A22" s="788">
        <v>16</v>
      </c>
      <c r="B22" s="598" t="s">
        <v>1413</v>
      </c>
      <c r="C22" s="46">
        <v>125</v>
      </c>
      <c r="D22" s="117">
        <v>111</v>
      </c>
      <c r="E22" s="117">
        <v>16</v>
      </c>
      <c r="F22" s="117">
        <v>29</v>
      </c>
      <c r="G22" s="110">
        <v>8</v>
      </c>
    </row>
    <row r="23" spans="1:8" ht="22.5" customHeight="1">
      <c r="A23" s="788">
        <v>17</v>
      </c>
      <c r="B23" s="598" t="s">
        <v>1414</v>
      </c>
      <c r="C23" s="46">
        <v>117</v>
      </c>
      <c r="D23" s="117">
        <v>67</v>
      </c>
      <c r="E23" s="117">
        <v>20</v>
      </c>
      <c r="F23" s="117">
        <v>31</v>
      </c>
      <c r="G23" s="110">
        <v>8</v>
      </c>
    </row>
    <row r="24" spans="1:8" ht="22.5" customHeight="1">
      <c r="A24" s="788">
        <v>18</v>
      </c>
      <c r="B24" s="598" t="s">
        <v>1419</v>
      </c>
      <c r="C24" s="46">
        <v>42</v>
      </c>
      <c r="D24" s="117">
        <v>73</v>
      </c>
      <c r="E24" s="117">
        <v>10</v>
      </c>
      <c r="F24" s="117">
        <v>21</v>
      </c>
      <c r="G24" s="110">
        <v>6</v>
      </c>
    </row>
    <row r="25" spans="1:8" ht="22.5" customHeight="1">
      <c r="A25" s="788">
        <v>19</v>
      </c>
      <c r="B25" s="598" t="s">
        <v>1420</v>
      </c>
      <c r="C25" s="46">
        <v>99</v>
      </c>
      <c r="D25" s="117">
        <v>42</v>
      </c>
      <c r="E25" s="117">
        <v>7</v>
      </c>
      <c r="F25" s="117">
        <v>19</v>
      </c>
      <c r="G25" s="110">
        <v>5</v>
      </c>
    </row>
    <row r="26" spans="1:8" ht="22.5" customHeight="1">
      <c r="A26" s="788">
        <v>20</v>
      </c>
      <c r="B26" s="598" t="s">
        <v>1422</v>
      </c>
      <c r="C26" s="46">
        <v>168</v>
      </c>
      <c r="D26" s="117">
        <v>46</v>
      </c>
      <c r="E26" s="117">
        <v>3</v>
      </c>
      <c r="F26" s="117">
        <v>28</v>
      </c>
      <c r="G26" s="110">
        <v>9</v>
      </c>
    </row>
    <row r="27" spans="1:8" ht="22.5" customHeight="1">
      <c r="A27" s="788">
        <v>21</v>
      </c>
      <c r="B27" s="598" t="s">
        <v>1423</v>
      </c>
      <c r="C27" s="46">
        <v>143</v>
      </c>
      <c r="D27" s="117">
        <v>39</v>
      </c>
      <c r="E27" s="117">
        <v>11</v>
      </c>
      <c r="F27" s="117">
        <v>30</v>
      </c>
      <c r="G27" s="110">
        <v>9</v>
      </c>
    </row>
    <row r="28" spans="1:8" ht="22.5" customHeight="1">
      <c r="A28" s="788">
        <v>22</v>
      </c>
      <c r="B28" s="598" t="s">
        <v>1425</v>
      </c>
      <c r="C28" s="46">
        <v>134</v>
      </c>
      <c r="D28" s="117">
        <v>90</v>
      </c>
      <c r="E28" s="117">
        <v>5</v>
      </c>
      <c r="F28" s="117">
        <v>32</v>
      </c>
      <c r="G28" s="110">
        <v>8</v>
      </c>
    </row>
    <row r="29" spans="1:8" ht="22.5" customHeight="1">
      <c r="A29" s="788">
        <v>23</v>
      </c>
      <c r="B29" s="598" t="s">
        <v>1426</v>
      </c>
      <c r="C29" s="46">
        <v>225</v>
      </c>
      <c r="D29" s="117">
        <v>26</v>
      </c>
      <c r="E29" s="117">
        <v>15</v>
      </c>
      <c r="F29" s="117">
        <v>33</v>
      </c>
      <c r="G29" s="110">
        <v>8</v>
      </c>
    </row>
    <row r="30" spans="1:8" ht="22.5" customHeight="1">
      <c r="A30" s="788">
        <v>24</v>
      </c>
      <c r="B30" s="598" t="s">
        <v>1570</v>
      </c>
      <c r="C30" s="46">
        <v>169</v>
      </c>
      <c r="D30" s="117">
        <v>71</v>
      </c>
      <c r="E30" s="117">
        <v>12</v>
      </c>
      <c r="F30" s="117">
        <v>32</v>
      </c>
      <c r="G30" s="110">
        <v>8</v>
      </c>
    </row>
    <row r="31" spans="1:8" ht="22.5" customHeight="1">
      <c r="A31" s="789">
        <v>25</v>
      </c>
      <c r="B31" s="941" t="s">
        <v>1429</v>
      </c>
      <c r="C31" s="28">
        <v>165</v>
      </c>
      <c r="D31" s="109">
        <v>44</v>
      </c>
      <c r="E31" s="109">
        <v>7</v>
      </c>
      <c r="F31" s="109">
        <v>30</v>
      </c>
      <c r="G31" s="111">
        <v>8</v>
      </c>
    </row>
    <row r="32" spans="1:8" ht="15" customHeight="1">
      <c r="A32" s="15" t="s">
        <v>408</v>
      </c>
      <c r="E32" s="1104" t="s">
        <v>1525</v>
      </c>
      <c r="F32" s="1105" t="s">
        <v>1231</v>
      </c>
      <c r="G32" s="1104"/>
    </row>
    <row r="33" spans="5:7" ht="26.25" customHeight="1">
      <c r="E33" s="1105"/>
      <c r="F33" s="2378" t="s">
        <v>1218</v>
      </c>
      <c r="G33" s="2378"/>
    </row>
    <row r="34" spans="5:7" ht="34.5" customHeight="1">
      <c r="E34" s="1105"/>
      <c r="F34" s="2378" t="s">
        <v>597</v>
      </c>
      <c r="G34" s="2378"/>
    </row>
    <row r="35" spans="5:7" ht="21" customHeight="1"/>
    <row r="36" spans="5:7" ht="21" customHeight="1"/>
    <row r="37" spans="5:7" ht="21" customHeight="1"/>
    <row r="38" spans="5:7" ht="21" customHeight="1"/>
    <row r="39" spans="5:7" ht="21" customHeight="1"/>
    <row r="40" spans="5:7" ht="21" customHeight="1"/>
    <row r="41" spans="5:7" ht="21" customHeight="1"/>
    <row r="42" spans="5:7" ht="21" customHeight="1"/>
    <row r="43" spans="5:7" ht="21" customHeight="1"/>
    <row r="44" spans="5:7" ht="21" customHeight="1"/>
    <row r="45" spans="5:7" ht="21" customHeight="1"/>
  </sheetData>
  <mergeCells count="11">
    <mergeCell ref="A3:A5"/>
    <mergeCell ref="F33:G33"/>
    <mergeCell ref="F34:G34"/>
    <mergeCell ref="A1:G1"/>
    <mergeCell ref="G3:G5"/>
    <mergeCell ref="A2:G2"/>
    <mergeCell ref="C3:C5"/>
    <mergeCell ref="D3:D5"/>
    <mergeCell ref="E3:E5"/>
    <mergeCell ref="F3:F5"/>
    <mergeCell ref="B3:B5"/>
  </mergeCells>
  <phoneticPr fontId="0" type="noConversion"/>
  <printOptions horizontalCentered="1"/>
  <pageMargins left="0.1" right="0.1" top="0.68" bottom="0.1" header="0.5" footer="0.5"/>
  <pageSetup paperSize="9" orientation="portrait" blackAndWhite="1" horizontalDpi="4294967295" verticalDpi="144" r:id="rId1"/>
  <headerFooter alignWithMargins="0"/>
</worksheet>
</file>

<file path=xl/worksheets/sheet81.xml><?xml version="1.0" encoding="utf-8"?>
<worksheet xmlns="http://schemas.openxmlformats.org/spreadsheetml/2006/main" xmlns:r="http://schemas.openxmlformats.org/officeDocument/2006/relationships">
  <dimension ref="A1:S32"/>
  <sheetViews>
    <sheetView workbookViewId="0">
      <selection activeCell="K35" sqref="K35"/>
    </sheetView>
  </sheetViews>
  <sheetFormatPr defaultRowHeight="12.75"/>
  <cols>
    <col min="1" max="1" width="3.7109375" customWidth="1"/>
    <col min="2" max="2" width="14" customWidth="1"/>
    <col min="3" max="3" width="8.140625" customWidth="1"/>
    <col min="4" max="4" width="7.7109375" customWidth="1"/>
    <col min="5" max="5" width="7" customWidth="1"/>
    <col min="6" max="6" width="7.85546875" customWidth="1"/>
    <col min="7" max="7" width="7" customWidth="1"/>
    <col min="8" max="8" width="7.7109375" customWidth="1"/>
    <col min="9" max="9" width="6.85546875" customWidth="1"/>
    <col min="10" max="10" width="8" customWidth="1"/>
    <col min="11" max="11" width="6.7109375" customWidth="1"/>
    <col min="12" max="12" width="7.85546875" customWidth="1"/>
    <col min="13" max="13" width="6.85546875" customWidth="1"/>
    <col min="14" max="14" width="7.7109375" customWidth="1"/>
    <col min="15" max="15" width="6.85546875" customWidth="1"/>
    <col min="16" max="16" width="7.85546875" customWidth="1"/>
    <col min="17" max="17" width="6.85546875" customWidth="1"/>
    <col min="18" max="18" width="8.28515625" customWidth="1"/>
    <col min="19" max="19" width="7" customWidth="1"/>
  </cols>
  <sheetData>
    <row r="1" spans="1:19">
      <c r="A1" s="1825" t="s">
        <v>561</v>
      </c>
      <c r="B1" s="1825"/>
      <c r="C1" s="1825"/>
      <c r="D1" s="1825"/>
      <c r="E1" s="1825"/>
      <c r="F1" s="1825"/>
      <c r="G1" s="1825"/>
      <c r="H1" s="1825"/>
      <c r="I1" s="1825"/>
      <c r="J1" s="1825"/>
      <c r="K1" s="1825"/>
      <c r="L1" s="1825"/>
      <c r="M1" s="1825"/>
      <c r="N1" s="1825"/>
      <c r="O1" s="1825"/>
      <c r="P1" s="1825"/>
      <c r="Q1" s="1825"/>
      <c r="R1" s="1825"/>
      <c r="S1" s="1825"/>
    </row>
    <row r="2" spans="1:19" ht="16.5">
      <c r="A2" s="2334" t="s">
        <v>1219</v>
      </c>
      <c r="B2" s="2334"/>
      <c r="C2" s="2334"/>
      <c r="D2" s="2334"/>
      <c r="E2" s="2334"/>
      <c r="F2" s="2334"/>
      <c r="G2" s="2334"/>
      <c r="H2" s="2334"/>
      <c r="I2" s="2334"/>
      <c r="J2" s="2334"/>
      <c r="K2" s="2334"/>
      <c r="L2" s="2334"/>
      <c r="M2" s="2334"/>
      <c r="N2" s="2334"/>
      <c r="O2" s="2334"/>
      <c r="P2" s="2334"/>
      <c r="Q2" s="2334"/>
      <c r="R2" s="2334"/>
      <c r="S2" s="2334"/>
    </row>
    <row r="3" spans="1:19" ht="12.75" customHeight="1">
      <c r="A3" s="431"/>
      <c r="B3" s="431"/>
      <c r="C3" s="431"/>
      <c r="D3" s="431"/>
      <c r="E3" s="431"/>
      <c r="F3" s="431"/>
      <c r="G3" s="431"/>
      <c r="H3" s="431"/>
      <c r="I3" s="431"/>
      <c r="J3" s="431"/>
      <c r="K3" s="431"/>
      <c r="L3" s="431"/>
      <c r="M3" s="431"/>
      <c r="N3" s="431"/>
      <c r="O3" s="431"/>
      <c r="P3" s="2392" t="s">
        <v>244</v>
      </c>
      <c r="Q3" s="2392"/>
      <c r="R3" s="2392"/>
      <c r="S3" s="2392"/>
    </row>
    <row r="4" spans="1:19" ht="12.75" customHeight="1">
      <c r="A4" s="2401" t="s">
        <v>1434</v>
      </c>
      <c r="B4" s="2385" t="s">
        <v>27</v>
      </c>
      <c r="C4" s="2404" t="s">
        <v>1283</v>
      </c>
      <c r="D4" s="2395" t="s">
        <v>255</v>
      </c>
      <c r="E4" s="2395"/>
      <c r="F4" s="2395" t="s">
        <v>256</v>
      </c>
      <c r="G4" s="2395"/>
      <c r="H4" s="2395" t="s">
        <v>257</v>
      </c>
      <c r="I4" s="2395"/>
      <c r="J4" s="2395" t="s">
        <v>258</v>
      </c>
      <c r="K4" s="2395"/>
      <c r="L4" s="2395" t="s">
        <v>259</v>
      </c>
      <c r="M4" s="2395"/>
      <c r="N4" s="2395" t="s">
        <v>260</v>
      </c>
      <c r="O4" s="2395"/>
      <c r="P4" s="2396" t="s">
        <v>1128</v>
      </c>
      <c r="Q4" s="2397"/>
      <c r="R4" s="2396" t="s">
        <v>979</v>
      </c>
      <c r="S4" s="2397"/>
    </row>
    <row r="5" spans="1:19" ht="62.25" customHeight="1">
      <c r="A5" s="2402"/>
      <c r="B5" s="2403"/>
      <c r="C5" s="2405"/>
      <c r="D5" s="1172" t="s">
        <v>945</v>
      </c>
      <c r="E5" s="1173" t="s">
        <v>946</v>
      </c>
      <c r="F5" s="1172" t="s">
        <v>945</v>
      </c>
      <c r="G5" s="1174" t="s">
        <v>946</v>
      </c>
      <c r="H5" s="1172" t="s">
        <v>945</v>
      </c>
      <c r="I5" s="1173" t="s">
        <v>946</v>
      </c>
      <c r="J5" s="1172" t="s">
        <v>945</v>
      </c>
      <c r="K5" s="1174" t="s">
        <v>946</v>
      </c>
      <c r="L5" s="1172" t="s">
        <v>945</v>
      </c>
      <c r="M5" s="1173" t="s">
        <v>946</v>
      </c>
      <c r="N5" s="1172" t="s">
        <v>945</v>
      </c>
      <c r="O5" s="1174" t="s">
        <v>946</v>
      </c>
      <c r="P5" s="1172" t="s">
        <v>945</v>
      </c>
      <c r="Q5" s="1174" t="s">
        <v>946</v>
      </c>
      <c r="R5" s="1172" t="s">
        <v>945</v>
      </c>
      <c r="S5" s="1174" t="s">
        <v>947</v>
      </c>
    </row>
    <row r="6" spans="1:19">
      <c r="A6" s="1289" t="s">
        <v>955</v>
      </c>
      <c r="B6" s="1290" t="s">
        <v>956</v>
      </c>
      <c r="C6" s="1291" t="s">
        <v>957</v>
      </c>
      <c r="D6" s="1292" t="s">
        <v>958</v>
      </c>
      <c r="E6" s="1293" t="s">
        <v>959</v>
      </c>
      <c r="F6" s="1290" t="s">
        <v>961</v>
      </c>
      <c r="G6" s="1291" t="s">
        <v>962</v>
      </c>
      <c r="H6" s="1290" t="s">
        <v>990</v>
      </c>
      <c r="I6" s="1294" t="s">
        <v>991</v>
      </c>
      <c r="J6" s="1290" t="s">
        <v>992</v>
      </c>
      <c r="K6" s="1291" t="s">
        <v>993</v>
      </c>
      <c r="L6" s="1290" t="s">
        <v>1046</v>
      </c>
      <c r="M6" s="1294" t="s">
        <v>1048</v>
      </c>
      <c r="N6" s="1290" t="s">
        <v>1049</v>
      </c>
      <c r="O6" s="1291" t="s">
        <v>1050</v>
      </c>
      <c r="P6" s="1290" t="s">
        <v>1051</v>
      </c>
      <c r="Q6" s="1294" t="s">
        <v>1052</v>
      </c>
      <c r="R6" s="1290" t="s">
        <v>1054</v>
      </c>
      <c r="S6" s="1294" t="s">
        <v>1053</v>
      </c>
    </row>
    <row r="7" spans="1:19" ht="15.75" customHeight="1">
      <c r="A7" s="2385" t="s">
        <v>1323</v>
      </c>
      <c r="B7" s="2393" t="s">
        <v>984</v>
      </c>
      <c r="C7" s="1056">
        <v>2001</v>
      </c>
      <c r="D7" s="993">
        <v>322933</v>
      </c>
      <c r="E7" s="1066">
        <f t="shared" ref="E7:E20" si="0">IF(D7="-","-",ROUND(D7/$R7*100,2))</f>
        <v>84.82</v>
      </c>
      <c r="F7" s="993">
        <v>57635</v>
      </c>
      <c r="G7" s="1066">
        <f t="shared" ref="G7:G17" si="1">IF(F7="-","-",ROUND(F7/$R7*100,2))</f>
        <v>15.14</v>
      </c>
      <c r="H7" s="993">
        <v>8</v>
      </c>
      <c r="I7" s="1066">
        <f t="shared" ref="I7:I18" si="2">IF(H7="-","-",ROUND(H7/$R7*100,2))</f>
        <v>0</v>
      </c>
      <c r="J7" s="1067">
        <v>23</v>
      </c>
      <c r="K7" s="1066">
        <f t="shared" ref="K7:K12" si="3">IF(J7="-","-",ROUND(J7/$R7*100,2))</f>
        <v>0.01</v>
      </c>
      <c r="L7" s="993">
        <v>3</v>
      </c>
      <c r="M7" s="1066">
        <f t="shared" ref="M7:M30" si="4">IF(L7="-","-",ROUND(L7/$R7*100,2))</f>
        <v>0</v>
      </c>
      <c r="N7" s="1067">
        <v>8</v>
      </c>
      <c r="O7" s="1066">
        <f t="shared" ref="O7:O30" si="5">IF(N7="-","-",ROUND(N7/$R7*100,2))</f>
        <v>0</v>
      </c>
      <c r="P7" s="1067">
        <v>119</v>
      </c>
      <c r="Q7" s="1066">
        <f>IF(P7="-","-",ROUND(P7/$R7*100,2))</f>
        <v>0.03</v>
      </c>
      <c r="R7" s="1068">
        <f t="shared" ref="R7:R30" si="6">IF(SUM(D7,F7,H7,J7,L7,N7,P7)=0,"-",SUM(D7,F7,H7,J7,L7,N7,P7))</f>
        <v>380729</v>
      </c>
      <c r="S7" s="1069">
        <f t="shared" ref="S7:S30" si="7">SUM(E7,G7,I7,K7,M7,O7,Q7)</f>
        <v>100</v>
      </c>
    </row>
    <row r="8" spans="1:19" ht="14.1" customHeight="1">
      <c r="A8" s="2400"/>
      <c r="B8" s="2394"/>
      <c r="C8" s="257">
        <v>1991</v>
      </c>
      <c r="D8" s="723">
        <v>283612</v>
      </c>
      <c r="E8" s="1070">
        <f t="shared" si="0"/>
        <v>84.12</v>
      </c>
      <c r="F8" s="723">
        <v>53119</v>
      </c>
      <c r="G8" s="1070">
        <f t="shared" si="1"/>
        <v>15.76</v>
      </c>
      <c r="H8" s="723">
        <v>38</v>
      </c>
      <c r="I8" s="1070">
        <f t="shared" si="2"/>
        <v>0.01</v>
      </c>
      <c r="J8" s="723">
        <v>15</v>
      </c>
      <c r="K8" s="1070">
        <f t="shared" si="3"/>
        <v>0</v>
      </c>
      <c r="L8" s="723">
        <v>5</v>
      </c>
      <c r="M8" s="1070">
        <f t="shared" si="4"/>
        <v>0</v>
      </c>
      <c r="N8" s="723">
        <v>331</v>
      </c>
      <c r="O8" s="1070">
        <f t="shared" si="5"/>
        <v>0.1</v>
      </c>
      <c r="P8" s="723">
        <v>33</v>
      </c>
      <c r="Q8" s="1070">
        <f>IF(P8="-","-",ROUND(P8/$R8*100,2))</f>
        <v>0.01</v>
      </c>
      <c r="R8" s="442">
        <f t="shared" si="6"/>
        <v>337153</v>
      </c>
      <c r="S8" s="937">
        <f t="shared" si="7"/>
        <v>100.00000000000001</v>
      </c>
    </row>
    <row r="9" spans="1:19" ht="14.1" customHeight="1">
      <c r="A9" s="2387" t="s">
        <v>1324</v>
      </c>
      <c r="B9" s="2393" t="s">
        <v>1599</v>
      </c>
      <c r="C9" s="1056">
        <v>2001</v>
      </c>
      <c r="D9" s="993">
        <v>437395</v>
      </c>
      <c r="E9" s="1066">
        <f t="shared" si="0"/>
        <v>78.81</v>
      </c>
      <c r="F9" s="993">
        <v>116785</v>
      </c>
      <c r="G9" s="1066">
        <f t="shared" si="1"/>
        <v>21.04</v>
      </c>
      <c r="H9" s="993">
        <v>67</v>
      </c>
      <c r="I9" s="1066">
        <f t="shared" si="2"/>
        <v>0.01</v>
      </c>
      <c r="J9" s="993">
        <v>43</v>
      </c>
      <c r="K9" s="1066">
        <f t="shared" si="3"/>
        <v>0.01</v>
      </c>
      <c r="L9" s="993">
        <v>8</v>
      </c>
      <c r="M9" s="1066">
        <f t="shared" si="4"/>
        <v>0</v>
      </c>
      <c r="N9" s="993">
        <v>306</v>
      </c>
      <c r="O9" s="1066">
        <f t="shared" si="5"/>
        <v>0.06</v>
      </c>
      <c r="P9" s="993">
        <v>417</v>
      </c>
      <c r="Q9" s="1066">
        <f>IF(P9="-","-",ROUND(P9/$R9*100,2))-0.01</f>
        <v>7.0000000000000007E-2</v>
      </c>
      <c r="R9" s="1068">
        <f t="shared" si="6"/>
        <v>555021</v>
      </c>
      <c r="S9" s="1069">
        <f t="shared" si="7"/>
        <v>100</v>
      </c>
    </row>
    <row r="10" spans="1:19" ht="27" customHeight="1">
      <c r="A10" s="2388"/>
      <c r="B10" s="2394"/>
      <c r="C10" s="257">
        <v>1991</v>
      </c>
      <c r="D10" s="723">
        <v>368721</v>
      </c>
      <c r="E10" s="1070">
        <f t="shared" si="0"/>
        <v>75.97</v>
      </c>
      <c r="F10" s="723">
        <v>116229</v>
      </c>
      <c r="G10" s="1070">
        <f t="shared" si="1"/>
        <v>23.95</v>
      </c>
      <c r="H10" s="723">
        <v>46</v>
      </c>
      <c r="I10" s="1070">
        <f t="shared" si="2"/>
        <v>0.01</v>
      </c>
      <c r="J10" s="723">
        <v>43</v>
      </c>
      <c r="K10" s="1070">
        <f t="shared" si="3"/>
        <v>0.01</v>
      </c>
      <c r="L10" s="723">
        <v>22</v>
      </c>
      <c r="M10" s="1070">
        <f t="shared" si="4"/>
        <v>0</v>
      </c>
      <c r="N10" s="1071" t="s">
        <v>1384</v>
      </c>
      <c r="O10" s="1070" t="str">
        <f t="shared" si="5"/>
        <v>-</v>
      </c>
      <c r="P10" s="723">
        <v>273</v>
      </c>
      <c r="Q10" s="1070">
        <f t="shared" ref="Q10:Q30" si="8">IF(P10="-","-",ROUND(P10/$R10*100,2))</f>
        <v>0.06</v>
      </c>
      <c r="R10" s="442">
        <f t="shared" si="6"/>
        <v>485334</v>
      </c>
      <c r="S10" s="937">
        <f t="shared" si="7"/>
        <v>100.00000000000001</v>
      </c>
    </row>
    <row r="11" spans="1:19" ht="14.1" customHeight="1">
      <c r="A11" s="2385">
        <v>5</v>
      </c>
      <c r="B11" s="2398" t="s">
        <v>1390</v>
      </c>
      <c r="C11" s="1056">
        <v>2001</v>
      </c>
      <c r="D11" s="993">
        <v>179321</v>
      </c>
      <c r="E11" s="1066">
        <f t="shared" si="0"/>
        <v>91.26</v>
      </c>
      <c r="F11" s="993">
        <v>17053</v>
      </c>
      <c r="G11" s="1066">
        <f t="shared" si="1"/>
        <v>8.68</v>
      </c>
      <c r="H11" s="1067" t="s">
        <v>1384</v>
      </c>
      <c r="I11" s="1066" t="str">
        <f t="shared" si="2"/>
        <v>-</v>
      </c>
      <c r="J11" s="1067">
        <v>3</v>
      </c>
      <c r="K11" s="1066">
        <f t="shared" si="3"/>
        <v>0</v>
      </c>
      <c r="L11" s="1067">
        <v>4</v>
      </c>
      <c r="M11" s="1066">
        <f t="shared" si="4"/>
        <v>0</v>
      </c>
      <c r="N11" s="1067" t="s">
        <v>1384</v>
      </c>
      <c r="O11" s="1066" t="str">
        <f t="shared" si="5"/>
        <v>-</v>
      </c>
      <c r="P11" s="1067">
        <v>121</v>
      </c>
      <c r="Q11" s="1066">
        <f t="shared" si="8"/>
        <v>0.06</v>
      </c>
      <c r="R11" s="1068">
        <f t="shared" si="6"/>
        <v>196502</v>
      </c>
      <c r="S11" s="1069">
        <f t="shared" si="7"/>
        <v>100</v>
      </c>
    </row>
    <row r="12" spans="1:19" ht="14.1" customHeight="1">
      <c r="A12" s="2386"/>
      <c r="B12" s="2399"/>
      <c r="C12" s="257">
        <v>1991</v>
      </c>
      <c r="D12" s="454">
        <v>160491</v>
      </c>
      <c r="E12" s="1072">
        <f t="shared" si="0"/>
        <v>92.07</v>
      </c>
      <c r="F12" s="454">
        <v>13802</v>
      </c>
      <c r="G12" s="1072">
        <f t="shared" si="1"/>
        <v>7.92</v>
      </c>
      <c r="H12" s="817" t="s">
        <v>1384</v>
      </c>
      <c r="I12" s="1072" t="str">
        <f t="shared" si="2"/>
        <v>-</v>
      </c>
      <c r="J12" s="817" t="s">
        <v>1384</v>
      </c>
      <c r="K12" s="1072" t="str">
        <f t="shared" si="3"/>
        <v>-</v>
      </c>
      <c r="L12" s="817" t="s">
        <v>1384</v>
      </c>
      <c r="M12" s="1072" t="str">
        <f t="shared" si="4"/>
        <v>-</v>
      </c>
      <c r="N12" s="817" t="s">
        <v>1384</v>
      </c>
      <c r="O12" s="1072" t="str">
        <f t="shared" si="5"/>
        <v>-</v>
      </c>
      <c r="P12" s="454">
        <v>16</v>
      </c>
      <c r="Q12" s="1072">
        <f t="shared" si="8"/>
        <v>0.01</v>
      </c>
      <c r="R12" s="108">
        <f t="shared" si="6"/>
        <v>174309</v>
      </c>
      <c r="S12" s="675">
        <f t="shared" si="7"/>
        <v>100</v>
      </c>
    </row>
    <row r="13" spans="1:19" ht="14.1" customHeight="1">
      <c r="A13" s="2385" t="s">
        <v>1325</v>
      </c>
      <c r="B13" s="2389" t="s">
        <v>985</v>
      </c>
      <c r="C13" s="1073">
        <v>2001</v>
      </c>
      <c r="D13" s="457">
        <v>352472</v>
      </c>
      <c r="E13" s="1066">
        <f t="shared" si="0"/>
        <v>85.62</v>
      </c>
      <c r="F13" s="993">
        <v>58428</v>
      </c>
      <c r="G13" s="1066">
        <f t="shared" si="1"/>
        <v>14.19</v>
      </c>
      <c r="H13" s="993">
        <v>483</v>
      </c>
      <c r="I13" s="1066">
        <f t="shared" si="2"/>
        <v>0.12</v>
      </c>
      <c r="J13" s="993">
        <v>15</v>
      </c>
      <c r="K13" s="1066">
        <f>IF(J13="-","-",ROUND(J13/$R13*100,2))+0.01</f>
        <v>0.01</v>
      </c>
      <c r="L13" s="1067">
        <v>13</v>
      </c>
      <c r="M13" s="1066">
        <f t="shared" si="4"/>
        <v>0</v>
      </c>
      <c r="N13" s="1067">
        <v>3</v>
      </c>
      <c r="O13" s="1066">
        <f t="shared" si="5"/>
        <v>0</v>
      </c>
      <c r="P13" s="1067">
        <v>239</v>
      </c>
      <c r="Q13" s="1066">
        <f t="shared" si="8"/>
        <v>0.06</v>
      </c>
      <c r="R13" s="1068">
        <f t="shared" si="6"/>
        <v>411653</v>
      </c>
      <c r="S13" s="1069">
        <f t="shared" si="7"/>
        <v>100.00000000000001</v>
      </c>
    </row>
    <row r="14" spans="1:19" ht="14.1" customHeight="1">
      <c r="A14" s="2386"/>
      <c r="B14" s="2390"/>
      <c r="C14" s="1074">
        <v>1991</v>
      </c>
      <c r="D14" s="450">
        <v>306198</v>
      </c>
      <c r="E14" s="1070">
        <f t="shared" si="0"/>
        <v>85.74</v>
      </c>
      <c r="F14" s="723">
        <v>50228</v>
      </c>
      <c r="G14" s="1070">
        <f t="shared" si="1"/>
        <v>14.06</v>
      </c>
      <c r="H14" s="723">
        <v>689</v>
      </c>
      <c r="I14" s="1070">
        <f t="shared" si="2"/>
        <v>0.19</v>
      </c>
      <c r="J14" s="1071" t="s">
        <v>1384</v>
      </c>
      <c r="K14" s="1070" t="str">
        <f t="shared" ref="K14:K30" si="9">IF(J14="-","-",ROUND(J14/$R14*100,2))</f>
        <v>-</v>
      </c>
      <c r="L14" s="723">
        <v>7</v>
      </c>
      <c r="M14" s="1070">
        <f t="shared" si="4"/>
        <v>0</v>
      </c>
      <c r="N14" s="1071" t="s">
        <v>1384</v>
      </c>
      <c r="O14" s="1070" t="str">
        <f t="shared" si="5"/>
        <v>-</v>
      </c>
      <c r="P14" s="723">
        <v>21</v>
      </c>
      <c r="Q14" s="1070">
        <f t="shared" si="8"/>
        <v>0.01</v>
      </c>
      <c r="R14" s="442">
        <f t="shared" si="6"/>
        <v>357143</v>
      </c>
      <c r="S14" s="937">
        <f t="shared" si="7"/>
        <v>100</v>
      </c>
    </row>
    <row r="15" spans="1:19" ht="20.25" customHeight="1">
      <c r="A15" s="2387" t="s">
        <v>1326</v>
      </c>
      <c r="B15" s="2393" t="s">
        <v>1600</v>
      </c>
      <c r="C15" s="1056">
        <v>2001</v>
      </c>
      <c r="D15" s="993">
        <v>352826</v>
      </c>
      <c r="E15" s="1066">
        <f t="shared" si="0"/>
        <v>80.33</v>
      </c>
      <c r="F15" s="993">
        <v>86112</v>
      </c>
      <c r="G15" s="1066">
        <f t="shared" si="1"/>
        <v>19.600000000000001</v>
      </c>
      <c r="H15" s="1067">
        <v>91</v>
      </c>
      <c r="I15" s="1066">
        <f t="shared" si="2"/>
        <v>0.02</v>
      </c>
      <c r="J15" s="1067">
        <v>2</v>
      </c>
      <c r="K15" s="1066">
        <f t="shared" si="9"/>
        <v>0</v>
      </c>
      <c r="L15" s="1067">
        <v>4</v>
      </c>
      <c r="M15" s="1066">
        <f t="shared" si="4"/>
        <v>0</v>
      </c>
      <c r="N15" s="1067" t="s">
        <v>1384</v>
      </c>
      <c r="O15" s="1066" t="str">
        <f t="shared" si="5"/>
        <v>-</v>
      </c>
      <c r="P15" s="1067">
        <v>207</v>
      </c>
      <c r="Q15" s="1066">
        <f t="shared" si="8"/>
        <v>0.05</v>
      </c>
      <c r="R15" s="1068">
        <f t="shared" si="6"/>
        <v>439242</v>
      </c>
      <c r="S15" s="1069">
        <f t="shared" si="7"/>
        <v>100</v>
      </c>
    </row>
    <row r="16" spans="1:19" ht="28.5" customHeight="1">
      <c r="A16" s="2388"/>
      <c r="B16" s="2394"/>
      <c r="C16" s="257">
        <v>1991</v>
      </c>
      <c r="D16" s="723">
        <v>309141</v>
      </c>
      <c r="E16" s="1070">
        <f t="shared" si="0"/>
        <v>80.48</v>
      </c>
      <c r="F16" s="723">
        <v>74962</v>
      </c>
      <c r="G16" s="1070">
        <f t="shared" si="1"/>
        <v>19.52</v>
      </c>
      <c r="H16" s="1071" t="s">
        <v>1384</v>
      </c>
      <c r="I16" s="1070" t="str">
        <f t="shared" si="2"/>
        <v>-</v>
      </c>
      <c r="J16" s="1071" t="s">
        <v>1384</v>
      </c>
      <c r="K16" s="1070" t="str">
        <f t="shared" si="9"/>
        <v>-</v>
      </c>
      <c r="L16" s="1071" t="s">
        <v>1384</v>
      </c>
      <c r="M16" s="1070" t="str">
        <f t="shared" si="4"/>
        <v>-</v>
      </c>
      <c r="N16" s="1071" t="s">
        <v>1384</v>
      </c>
      <c r="O16" s="1070" t="str">
        <f t="shared" si="5"/>
        <v>-</v>
      </c>
      <c r="P16" s="1071" t="s">
        <v>1384</v>
      </c>
      <c r="Q16" s="1070" t="str">
        <f t="shared" si="8"/>
        <v>-</v>
      </c>
      <c r="R16" s="442">
        <f t="shared" si="6"/>
        <v>384103</v>
      </c>
      <c r="S16" s="937">
        <f t="shared" si="7"/>
        <v>100</v>
      </c>
    </row>
    <row r="17" spans="1:19" ht="15.75" customHeight="1">
      <c r="A17" s="2385" t="s">
        <v>1327</v>
      </c>
      <c r="B17" s="2393" t="s">
        <v>986</v>
      </c>
      <c r="C17" s="1056">
        <v>2001</v>
      </c>
      <c r="D17" s="993">
        <v>148276</v>
      </c>
      <c r="E17" s="1066">
        <f t="shared" si="0"/>
        <v>78.89</v>
      </c>
      <c r="F17" s="993">
        <v>39531</v>
      </c>
      <c r="G17" s="1066">
        <f t="shared" si="1"/>
        <v>21.03</v>
      </c>
      <c r="H17" s="993">
        <v>12</v>
      </c>
      <c r="I17" s="1066">
        <f t="shared" si="2"/>
        <v>0.01</v>
      </c>
      <c r="J17" s="993">
        <v>4</v>
      </c>
      <c r="K17" s="1066">
        <f t="shared" si="9"/>
        <v>0</v>
      </c>
      <c r="L17" s="1067">
        <v>24</v>
      </c>
      <c r="M17" s="1066">
        <f t="shared" si="4"/>
        <v>0.01</v>
      </c>
      <c r="N17" s="1067" t="s">
        <v>1384</v>
      </c>
      <c r="O17" s="1066" t="str">
        <f t="shared" si="5"/>
        <v>-</v>
      </c>
      <c r="P17" s="993">
        <v>110</v>
      </c>
      <c r="Q17" s="1066">
        <f t="shared" si="8"/>
        <v>0.06</v>
      </c>
      <c r="R17" s="1068">
        <f t="shared" si="6"/>
        <v>187957</v>
      </c>
      <c r="S17" s="1069">
        <f t="shared" si="7"/>
        <v>100.00000000000001</v>
      </c>
    </row>
    <row r="18" spans="1:19" ht="14.1" customHeight="1">
      <c r="A18" s="2386"/>
      <c r="B18" s="2394"/>
      <c r="C18" s="257">
        <v>1991</v>
      </c>
      <c r="D18" s="723">
        <v>157893</v>
      </c>
      <c r="E18" s="1070">
        <f t="shared" si="0"/>
        <v>80.150000000000006</v>
      </c>
      <c r="F18" s="723">
        <v>39092</v>
      </c>
      <c r="G18" s="1070">
        <f>IF(F18="-","-",ROUND(F18/$R18*100,2))+0.01</f>
        <v>19.850000000000001</v>
      </c>
      <c r="H18" s="1071" t="s">
        <v>1384</v>
      </c>
      <c r="I18" s="1070" t="str">
        <f t="shared" si="2"/>
        <v>-</v>
      </c>
      <c r="J18" s="723">
        <v>2</v>
      </c>
      <c r="K18" s="1070">
        <f t="shared" si="9"/>
        <v>0</v>
      </c>
      <c r="L18" s="1071" t="s">
        <v>1384</v>
      </c>
      <c r="M18" s="1070" t="str">
        <f t="shared" si="4"/>
        <v>-</v>
      </c>
      <c r="N18" s="1071" t="s">
        <v>1384</v>
      </c>
      <c r="O18" s="1070" t="str">
        <f t="shared" si="5"/>
        <v>-</v>
      </c>
      <c r="P18" s="723">
        <v>8</v>
      </c>
      <c r="Q18" s="1070">
        <f t="shared" si="8"/>
        <v>0</v>
      </c>
      <c r="R18" s="442">
        <f t="shared" si="6"/>
        <v>196995</v>
      </c>
      <c r="S18" s="937">
        <f t="shared" si="7"/>
        <v>100</v>
      </c>
    </row>
    <row r="19" spans="1:19" ht="14.1" customHeight="1">
      <c r="A19" s="2385" t="s">
        <v>1328</v>
      </c>
      <c r="B19" s="2393" t="s">
        <v>134</v>
      </c>
      <c r="C19" s="1056">
        <v>2001</v>
      </c>
      <c r="D19" s="993">
        <v>277355</v>
      </c>
      <c r="E19" s="1066">
        <f t="shared" si="0"/>
        <v>91.79</v>
      </c>
      <c r="F19" s="993">
        <v>24686</v>
      </c>
      <c r="G19" s="1066">
        <f>IF(F19="-","-",ROUND(F19/$R19*100,2))</f>
        <v>8.17</v>
      </c>
      <c r="H19" s="1067">
        <v>11</v>
      </c>
      <c r="I19" s="1066">
        <f>IF(H19="-","-",ROUND(H19/$R19*100,2))+0.01</f>
        <v>0.01</v>
      </c>
      <c r="J19" s="1067">
        <v>7</v>
      </c>
      <c r="K19" s="1066">
        <f t="shared" si="9"/>
        <v>0</v>
      </c>
      <c r="L19" s="1067">
        <v>4</v>
      </c>
      <c r="M19" s="1066">
        <f t="shared" si="4"/>
        <v>0</v>
      </c>
      <c r="N19" s="1067">
        <v>1</v>
      </c>
      <c r="O19" s="1066">
        <f t="shared" si="5"/>
        <v>0</v>
      </c>
      <c r="P19" s="1067">
        <v>96</v>
      </c>
      <c r="Q19" s="1066">
        <f t="shared" si="8"/>
        <v>0.03</v>
      </c>
      <c r="R19" s="1068">
        <f t="shared" si="6"/>
        <v>302160</v>
      </c>
      <c r="S19" s="1069">
        <f t="shared" si="7"/>
        <v>100.00000000000001</v>
      </c>
    </row>
    <row r="20" spans="1:19" ht="14.1" customHeight="1">
      <c r="A20" s="2386"/>
      <c r="B20" s="2394"/>
      <c r="C20" s="257">
        <v>1991</v>
      </c>
      <c r="D20" s="723">
        <v>246578</v>
      </c>
      <c r="E20" s="1070">
        <f t="shared" si="0"/>
        <v>92.51</v>
      </c>
      <c r="F20" s="723">
        <v>19759</v>
      </c>
      <c r="G20" s="1070">
        <f>IF(F20="-","-",ROUND(F20/$R20*100,2))+0.01</f>
        <v>7.42</v>
      </c>
      <c r="H20" s="723">
        <v>4</v>
      </c>
      <c r="I20" s="1070">
        <f t="shared" ref="I20:I26" si="10">IF(H20="-","-",ROUND(H20/$R20*100,2))</f>
        <v>0</v>
      </c>
      <c r="J20" s="723">
        <v>6</v>
      </c>
      <c r="K20" s="1070">
        <f t="shared" si="9"/>
        <v>0</v>
      </c>
      <c r="L20" s="723">
        <v>1</v>
      </c>
      <c r="M20" s="1070">
        <f t="shared" si="4"/>
        <v>0</v>
      </c>
      <c r="N20" s="1071" t="s">
        <v>1384</v>
      </c>
      <c r="O20" s="1070" t="str">
        <f t="shared" si="5"/>
        <v>-</v>
      </c>
      <c r="P20" s="723">
        <v>192</v>
      </c>
      <c r="Q20" s="1070">
        <f t="shared" si="8"/>
        <v>7.0000000000000007E-2</v>
      </c>
      <c r="R20" s="442">
        <f t="shared" si="6"/>
        <v>266540</v>
      </c>
      <c r="S20" s="937">
        <f t="shared" si="7"/>
        <v>100</v>
      </c>
    </row>
    <row r="21" spans="1:19" ht="14.1" customHeight="1">
      <c r="A21" s="2385" t="s">
        <v>1329</v>
      </c>
      <c r="B21" s="2391" t="s">
        <v>987</v>
      </c>
      <c r="C21" s="1056">
        <v>2001</v>
      </c>
      <c r="D21" s="993">
        <v>214892</v>
      </c>
      <c r="E21" s="1066">
        <f>IF(D21="-","-",ROUND(D21/$R21*100,2))+0.01</f>
        <v>92.600000000000009</v>
      </c>
      <c r="F21" s="993">
        <v>17110</v>
      </c>
      <c r="G21" s="1066">
        <f>IF(F21="-","-",ROUND(F21/$R21*100,2))</f>
        <v>7.37</v>
      </c>
      <c r="H21" s="993">
        <v>46</v>
      </c>
      <c r="I21" s="1066">
        <f t="shared" si="10"/>
        <v>0.02</v>
      </c>
      <c r="J21" s="1067">
        <v>4</v>
      </c>
      <c r="K21" s="1066">
        <f t="shared" si="9"/>
        <v>0</v>
      </c>
      <c r="L21" s="1067" t="s">
        <v>1384</v>
      </c>
      <c r="M21" s="1066" t="str">
        <f t="shared" si="4"/>
        <v>-</v>
      </c>
      <c r="N21" s="1067" t="s">
        <v>1384</v>
      </c>
      <c r="O21" s="1066" t="str">
        <f t="shared" si="5"/>
        <v>-</v>
      </c>
      <c r="P21" s="1067">
        <v>29</v>
      </c>
      <c r="Q21" s="1066">
        <f t="shared" si="8"/>
        <v>0.01</v>
      </c>
      <c r="R21" s="1068">
        <f t="shared" si="6"/>
        <v>232081</v>
      </c>
      <c r="S21" s="1069">
        <f t="shared" si="7"/>
        <v>100.00000000000001</v>
      </c>
    </row>
    <row r="22" spans="1:19" ht="14.1" customHeight="1">
      <c r="A22" s="2386"/>
      <c r="B22" s="2390"/>
      <c r="C22" s="257">
        <v>1991</v>
      </c>
      <c r="D22" s="723">
        <v>186600</v>
      </c>
      <c r="E22" s="1070">
        <f>IF(D22="-","-",ROUND(D22/$R22*100,2))</f>
        <v>93.58</v>
      </c>
      <c r="F22" s="723">
        <v>12792</v>
      </c>
      <c r="G22" s="1070">
        <f>IF(F22="-","-",ROUND(F22/$R22*100,2))</f>
        <v>6.42</v>
      </c>
      <c r="H22" s="723">
        <v>1</v>
      </c>
      <c r="I22" s="1070">
        <f t="shared" si="10"/>
        <v>0</v>
      </c>
      <c r="J22" s="1071" t="s">
        <v>1384</v>
      </c>
      <c r="K22" s="1070" t="str">
        <f t="shared" si="9"/>
        <v>-</v>
      </c>
      <c r="L22" s="723">
        <v>5</v>
      </c>
      <c r="M22" s="1070">
        <f t="shared" si="4"/>
        <v>0</v>
      </c>
      <c r="N22" s="1071" t="s">
        <v>1384</v>
      </c>
      <c r="O22" s="1070" t="str">
        <f t="shared" si="5"/>
        <v>-</v>
      </c>
      <c r="P22" s="723">
        <v>4</v>
      </c>
      <c r="Q22" s="1070">
        <f t="shared" si="8"/>
        <v>0</v>
      </c>
      <c r="R22" s="442">
        <f t="shared" si="6"/>
        <v>199402</v>
      </c>
      <c r="S22" s="937">
        <f t="shared" si="7"/>
        <v>100</v>
      </c>
    </row>
    <row r="23" spans="1:19" ht="14.1" customHeight="1">
      <c r="A23" s="2385" t="s">
        <v>1330</v>
      </c>
      <c r="B23" s="2383" t="s">
        <v>869</v>
      </c>
      <c r="C23" s="1056">
        <v>2001</v>
      </c>
      <c r="D23" s="993">
        <v>338177</v>
      </c>
      <c r="E23" s="1066">
        <f>IF(D23="-","-",ROUND(D23/$R23*100,2))+0.01</f>
        <v>92.29</v>
      </c>
      <c r="F23" s="993">
        <v>28038</v>
      </c>
      <c r="G23" s="1066">
        <f>IF(F23="-","-",ROUND(F23/$R23*100,2))</f>
        <v>7.65</v>
      </c>
      <c r="H23" s="1067">
        <v>16</v>
      </c>
      <c r="I23" s="1066">
        <f t="shared" si="10"/>
        <v>0</v>
      </c>
      <c r="J23" s="1067">
        <v>7</v>
      </c>
      <c r="K23" s="1066">
        <f t="shared" si="9"/>
        <v>0</v>
      </c>
      <c r="L23" s="1067">
        <v>5</v>
      </c>
      <c r="M23" s="1066">
        <f t="shared" si="4"/>
        <v>0</v>
      </c>
      <c r="N23" s="1067" t="s">
        <v>1384</v>
      </c>
      <c r="O23" s="1066" t="str">
        <f t="shared" si="5"/>
        <v>-</v>
      </c>
      <c r="P23" s="1067">
        <v>206</v>
      </c>
      <c r="Q23" s="1066">
        <f t="shared" si="8"/>
        <v>0.06</v>
      </c>
      <c r="R23" s="1068">
        <f t="shared" si="6"/>
        <v>366449</v>
      </c>
      <c r="S23" s="1069">
        <f t="shared" si="7"/>
        <v>100.00000000000001</v>
      </c>
    </row>
    <row r="24" spans="1:19" ht="14.1" customHeight="1">
      <c r="A24" s="2386"/>
      <c r="B24" s="2384"/>
      <c r="C24" s="257">
        <v>1991</v>
      </c>
      <c r="D24" s="723">
        <v>298376</v>
      </c>
      <c r="E24" s="1070">
        <f>IF(D24="-","-",ROUND(D24/$R24*100,2))</f>
        <v>93.4</v>
      </c>
      <c r="F24" s="723">
        <v>21070</v>
      </c>
      <c r="G24" s="1070">
        <f>IF(F24="-","-",ROUND(F24/$R24*100,2))-0.01</f>
        <v>6.59</v>
      </c>
      <c r="H24" s="1071" t="s">
        <v>1384</v>
      </c>
      <c r="I24" s="1070" t="str">
        <f t="shared" si="10"/>
        <v>-</v>
      </c>
      <c r="J24" s="1071" t="s">
        <v>1384</v>
      </c>
      <c r="K24" s="1070" t="str">
        <f t="shared" si="9"/>
        <v>-</v>
      </c>
      <c r="L24" s="1071" t="s">
        <v>1384</v>
      </c>
      <c r="M24" s="1070" t="str">
        <f t="shared" si="4"/>
        <v>-</v>
      </c>
      <c r="N24" s="1071" t="s">
        <v>1384</v>
      </c>
      <c r="O24" s="1070" t="str">
        <f t="shared" si="5"/>
        <v>-</v>
      </c>
      <c r="P24" s="723">
        <v>21</v>
      </c>
      <c r="Q24" s="1070">
        <f t="shared" si="8"/>
        <v>0.01</v>
      </c>
      <c r="R24" s="442">
        <f t="shared" si="6"/>
        <v>319467</v>
      </c>
      <c r="S24" s="937">
        <f t="shared" si="7"/>
        <v>100.00000000000001</v>
      </c>
    </row>
    <row r="25" spans="1:19" ht="14.1" customHeight="1">
      <c r="A25" s="2385" t="s">
        <v>1331</v>
      </c>
      <c r="B25" s="2383" t="s">
        <v>988</v>
      </c>
      <c r="C25" s="1056">
        <v>2001</v>
      </c>
      <c r="D25" s="993">
        <v>255095</v>
      </c>
      <c r="E25" s="1066">
        <f>IF(D25="-","-",ROUND(D25/$R25*100,2))</f>
        <v>90.21</v>
      </c>
      <c r="F25" s="993">
        <v>27538</v>
      </c>
      <c r="G25" s="1066">
        <f>IF(F25="-","-",ROUND(F25/$R25*100,2))</f>
        <v>9.74</v>
      </c>
      <c r="H25" s="993">
        <v>40</v>
      </c>
      <c r="I25" s="1066">
        <f t="shared" si="10"/>
        <v>0.01</v>
      </c>
      <c r="J25" s="993">
        <v>29</v>
      </c>
      <c r="K25" s="1066">
        <f t="shared" si="9"/>
        <v>0.01</v>
      </c>
      <c r="L25" s="1068">
        <v>17</v>
      </c>
      <c r="M25" s="1066">
        <f t="shared" si="4"/>
        <v>0.01</v>
      </c>
      <c r="N25" s="1067" t="s">
        <v>1384</v>
      </c>
      <c r="O25" s="1066" t="str">
        <f t="shared" si="5"/>
        <v>-</v>
      </c>
      <c r="P25" s="1067">
        <v>63</v>
      </c>
      <c r="Q25" s="1066">
        <f t="shared" si="8"/>
        <v>0.02</v>
      </c>
      <c r="R25" s="1068">
        <f t="shared" si="6"/>
        <v>282782</v>
      </c>
      <c r="S25" s="1069">
        <f t="shared" si="7"/>
        <v>100</v>
      </c>
    </row>
    <row r="26" spans="1:19" ht="14.25" customHeight="1">
      <c r="A26" s="2386"/>
      <c r="B26" s="2384"/>
      <c r="C26" s="257">
        <v>1991</v>
      </c>
      <c r="D26" s="723">
        <v>230473</v>
      </c>
      <c r="E26" s="1070">
        <f>IF(D26="-","-",ROUND(D26/$R26*100,2))-0.01</f>
        <v>91.059999999999988</v>
      </c>
      <c r="F26" s="723">
        <v>22537</v>
      </c>
      <c r="G26" s="1070">
        <f>IF(F26="-","-",ROUND(F26/$R26*100,2))</f>
        <v>8.9</v>
      </c>
      <c r="H26" s="723">
        <v>13</v>
      </c>
      <c r="I26" s="1070">
        <f t="shared" si="10"/>
        <v>0.01</v>
      </c>
      <c r="J26" s="723">
        <v>42</v>
      </c>
      <c r="K26" s="1070">
        <f t="shared" si="9"/>
        <v>0.02</v>
      </c>
      <c r="L26" s="1075">
        <v>17</v>
      </c>
      <c r="M26" s="1070">
        <f t="shared" si="4"/>
        <v>0.01</v>
      </c>
      <c r="N26" s="1071" t="s">
        <v>1384</v>
      </c>
      <c r="O26" s="1070" t="str">
        <f t="shared" si="5"/>
        <v>-</v>
      </c>
      <c r="P26" s="723">
        <v>4</v>
      </c>
      <c r="Q26" s="1070">
        <f t="shared" si="8"/>
        <v>0</v>
      </c>
      <c r="R26" s="442">
        <f t="shared" si="6"/>
        <v>253086</v>
      </c>
      <c r="S26" s="937">
        <f t="shared" si="7"/>
        <v>100</v>
      </c>
    </row>
    <row r="27" spans="1:19" ht="14.1" customHeight="1">
      <c r="A27" s="2385" t="s">
        <v>1332</v>
      </c>
      <c r="B27" s="2391" t="s">
        <v>989</v>
      </c>
      <c r="C27" s="1056">
        <v>2001</v>
      </c>
      <c r="D27" s="993">
        <v>273667</v>
      </c>
      <c r="E27" s="1066">
        <f>IF(D27="-","-",ROUND(D27/$R27*100,2))</f>
        <v>90.77</v>
      </c>
      <c r="F27" s="993">
        <v>27497</v>
      </c>
      <c r="G27" s="1066">
        <f>IF(F27="-","-",ROUND(F27/$R27*100,2))</f>
        <v>9.1199999999999992</v>
      </c>
      <c r="H27" s="993">
        <v>10</v>
      </c>
      <c r="I27" s="1066">
        <f>IF(H27="-","-",ROUND(H27/$R27*100,2))+0.01</f>
        <v>0.01</v>
      </c>
      <c r="J27" s="1067">
        <v>3</v>
      </c>
      <c r="K27" s="1066">
        <f t="shared" si="9"/>
        <v>0</v>
      </c>
      <c r="L27" s="1067">
        <v>2</v>
      </c>
      <c r="M27" s="1066">
        <f t="shared" si="4"/>
        <v>0</v>
      </c>
      <c r="N27" s="1067" t="s">
        <v>1384</v>
      </c>
      <c r="O27" s="1066" t="str">
        <f t="shared" si="5"/>
        <v>-</v>
      </c>
      <c r="P27" s="993">
        <v>306</v>
      </c>
      <c r="Q27" s="1066">
        <f t="shared" si="8"/>
        <v>0.1</v>
      </c>
      <c r="R27" s="1068">
        <f t="shared" si="6"/>
        <v>301485</v>
      </c>
      <c r="S27" s="1069">
        <f t="shared" si="7"/>
        <v>100</v>
      </c>
    </row>
    <row r="28" spans="1:19" ht="15" customHeight="1">
      <c r="A28" s="2386"/>
      <c r="B28" s="2390"/>
      <c r="C28" s="257">
        <v>1991</v>
      </c>
      <c r="D28" s="723">
        <v>264292</v>
      </c>
      <c r="E28" s="1070">
        <f>IF(D28="-","-",ROUND(D28/$R28*100,2))</f>
        <v>91.84</v>
      </c>
      <c r="F28" s="723">
        <v>23477</v>
      </c>
      <c r="G28" s="1070">
        <f>IF(F28="-","-",ROUND(F28/$R28*100,2))</f>
        <v>8.16</v>
      </c>
      <c r="H28" s="723">
        <v>7</v>
      </c>
      <c r="I28" s="1070">
        <f>IF(H28="-","-",ROUND(H28/$R28*100,2))</f>
        <v>0</v>
      </c>
      <c r="J28" s="1071" t="s">
        <v>1384</v>
      </c>
      <c r="K28" s="1070" t="str">
        <f t="shared" si="9"/>
        <v>-</v>
      </c>
      <c r="L28" s="1071" t="s">
        <v>1384</v>
      </c>
      <c r="M28" s="1070" t="str">
        <f t="shared" si="4"/>
        <v>-</v>
      </c>
      <c r="N28" s="1071" t="s">
        <v>1384</v>
      </c>
      <c r="O28" s="1070" t="str">
        <f t="shared" si="5"/>
        <v>-</v>
      </c>
      <c r="P28" s="723">
        <v>7</v>
      </c>
      <c r="Q28" s="1070">
        <f t="shared" si="8"/>
        <v>0</v>
      </c>
      <c r="R28" s="442">
        <f t="shared" si="6"/>
        <v>287783</v>
      </c>
      <c r="S28" s="937">
        <f t="shared" si="7"/>
        <v>100</v>
      </c>
    </row>
    <row r="29" spans="1:19" ht="24.75" customHeight="1">
      <c r="A29" s="2387" t="s">
        <v>1230</v>
      </c>
      <c r="B29" s="2389" t="s">
        <v>472</v>
      </c>
      <c r="C29" s="188">
        <v>2001</v>
      </c>
      <c r="D29" s="454">
        <v>401814</v>
      </c>
      <c r="E29" s="1072">
        <f>IF(D29="-","-",ROUND(D29/$R29*100,2))</f>
        <v>90.88</v>
      </c>
      <c r="F29" s="454">
        <v>40077</v>
      </c>
      <c r="G29" s="1072">
        <f>IF(F29="-","-",ROUND(F29/$R29*100,2))+0.01</f>
        <v>9.07</v>
      </c>
      <c r="H29" s="454">
        <v>91</v>
      </c>
      <c r="I29" s="1072">
        <f>IF(H29="-","-",ROUND(H29/$R29*100,2))</f>
        <v>0.02</v>
      </c>
      <c r="J29" s="817">
        <v>3</v>
      </c>
      <c r="K29" s="1072">
        <f t="shared" si="9"/>
        <v>0</v>
      </c>
      <c r="L29" s="817">
        <v>8</v>
      </c>
      <c r="M29" s="1072">
        <f t="shared" si="4"/>
        <v>0</v>
      </c>
      <c r="N29" s="817" t="s">
        <v>1384</v>
      </c>
      <c r="O29" s="1072" t="str">
        <f t="shared" si="5"/>
        <v>-</v>
      </c>
      <c r="P29" s="817">
        <v>127</v>
      </c>
      <c r="Q29" s="1072">
        <f t="shared" si="8"/>
        <v>0.03</v>
      </c>
      <c r="R29" s="108">
        <f t="shared" si="6"/>
        <v>442120</v>
      </c>
      <c r="S29" s="675">
        <f t="shared" si="7"/>
        <v>99.999999999999986</v>
      </c>
    </row>
    <row r="30" spans="1:19" ht="25.5" customHeight="1">
      <c r="A30" s="2388"/>
      <c r="B30" s="2390"/>
      <c r="C30" s="257">
        <v>1991</v>
      </c>
      <c r="D30" s="723">
        <v>360299</v>
      </c>
      <c r="E30" s="1070">
        <f>IF(D30="-","-",ROUND(D30/$R30*100,2))</f>
        <v>91.96</v>
      </c>
      <c r="F30" s="723">
        <v>31471</v>
      </c>
      <c r="G30" s="1070">
        <f>IF(F30="-","-",ROUND(F30/$R30*100,2))</f>
        <v>8.0299999999999994</v>
      </c>
      <c r="H30" s="723">
        <v>21</v>
      </c>
      <c r="I30" s="1070">
        <f>IF(H30="-","-",ROUND(H30/$R30*100,2))</f>
        <v>0.01</v>
      </c>
      <c r="J30" s="1071" t="s">
        <v>1384</v>
      </c>
      <c r="K30" s="1070" t="str">
        <f t="shared" si="9"/>
        <v>-</v>
      </c>
      <c r="L30" s="1071" t="s">
        <v>1384</v>
      </c>
      <c r="M30" s="1070" t="str">
        <f t="shared" si="4"/>
        <v>-</v>
      </c>
      <c r="N30" s="1071" t="s">
        <v>1384</v>
      </c>
      <c r="O30" s="1070" t="str">
        <f t="shared" si="5"/>
        <v>-</v>
      </c>
      <c r="P30" s="723">
        <v>8</v>
      </c>
      <c r="Q30" s="1070">
        <f t="shared" si="8"/>
        <v>0</v>
      </c>
      <c r="R30" s="442">
        <f t="shared" si="6"/>
        <v>391799</v>
      </c>
      <c r="S30" s="937">
        <f t="shared" si="7"/>
        <v>100</v>
      </c>
    </row>
    <row r="31" spans="1:19">
      <c r="A31" s="729"/>
      <c r="B31" s="12"/>
      <c r="C31" s="12"/>
      <c r="D31" s="12"/>
      <c r="E31" s="12"/>
      <c r="F31" s="12"/>
      <c r="G31" s="12"/>
      <c r="H31" s="12"/>
      <c r="I31" s="12"/>
      <c r="J31" s="12"/>
      <c r="K31" s="12"/>
      <c r="L31" s="12"/>
      <c r="M31" s="319"/>
      <c r="N31" s="338"/>
      <c r="O31" s="338"/>
      <c r="P31" s="11"/>
      <c r="Q31" s="11"/>
      <c r="R31" s="11"/>
      <c r="S31" s="1295" t="s">
        <v>473</v>
      </c>
    </row>
    <row r="32" spans="1:19">
      <c r="A32" s="11"/>
      <c r="B32" s="11"/>
      <c r="C32" s="11"/>
      <c r="D32" s="11"/>
      <c r="E32" s="11"/>
      <c r="F32" s="11"/>
      <c r="G32" s="11"/>
      <c r="H32" s="11"/>
      <c r="I32" s="11"/>
      <c r="J32" s="774"/>
      <c r="K32" s="11"/>
      <c r="L32" s="11"/>
      <c r="M32" s="11"/>
      <c r="N32" s="11"/>
      <c r="O32" s="11"/>
      <c r="P32" s="11"/>
      <c r="Q32" s="11"/>
      <c r="R32" s="11"/>
      <c r="S32" s="11"/>
    </row>
  </sheetData>
  <mergeCells count="38">
    <mergeCell ref="A1:S1"/>
    <mergeCell ref="A2:S2"/>
    <mergeCell ref="A4:A5"/>
    <mergeCell ref="B4:B5"/>
    <mergeCell ref="C4:C5"/>
    <mergeCell ref="D4:E4"/>
    <mergeCell ref="F4:G4"/>
    <mergeCell ref="A9:A10"/>
    <mergeCell ref="B9:B10"/>
    <mergeCell ref="B11:B12"/>
    <mergeCell ref="R4:S4"/>
    <mergeCell ref="A7:A8"/>
    <mergeCell ref="B7:B8"/>
    <mergeCell ref="A13:A14"/>
    <mergeCell ref="B13:B14"/>
    <mergeCell ref="P3:S3"/>
    <mergeCell ref="A21:A22"/>
    <mergeCell ref="B21:B22"/>
    <mergeCell ref="A11:A12"/>
    <mergeCell ref="A15:A16"/>
    <mergeCell ref="B15:B16"/>
    <mergeCell ref="N4:O4"/>
    <mergeCell ref="P4:Q4"/>
    <mergeCell ref="H4:I4"/>
    <mergeCell ref="J4:K4"/>
    <mergeCell ref="L4:M4"/>
    <mergeCell ref="B17:B18"/>
    <mergeCell ref="A19:A20"/>
    <mergeCell ref="B19:B20"/>
    <mergeCell ref="B23:B24"/>
    <mergeCell ref="A17:A18"/>
    <mergeCell ref="A29:A30"/>
    <mergeCell ref="B29:B30"/>
    <mergeCell ref="A25:A26"/>
    <mergeCell ref="B25:B26"/>
    <mergeCell ref="A27:A28"/>
    <mergeCell ref="B27:B28"/>
    <mergeCell ref="A23:A24"/>
  </mergeCells>
  <phoneticPr fontId="0" type="noConversion"/>
  <printOptions horizontalCentered="1"/>
  <pageMargins left="0.1" right="0.1" top="0.38" bottom="0.5" header="0.31" footer="0.3"/>
  <pageSetup paperSize="9" scale="98" orientation="landscape" blackAndWhite="1" r:id="rId1"/>
  <headerFooter alignWithMargins="0"/>
  <drawing r:id="rId2"/>
</worksheet>
</file>

<file path=xl/worksheets/sheet82.xml><?xml version="1.0" encoding="utf-8"?>
<worksheet xmlns="http://schemas.openxmlformats.org/spreadsheetml/2006/main" xmlns:r="http://schemas.openxmlformats.org/officeDocument/2006/relationships">
  <dimension ref="A1:Y48"/>
  <sheetViews>
    <sheetView showZeros="0" topLeftCell="B1" workbookViewId="0">
      <selection activeCell="O4" sqref="O4"/>
    </sheetView>
  </sheetViews>
  <sheetFormatPr defaultRowHeight="12.75"/>
  <cols>
    <col min="1" max="1" width="1" style="11" hidden="1" customWidth="1"/>
    <col min="2" max="2" width="3.140625" style="11" customWidth="1"/>
    <col min="3" max="3" width="13.42578125" style="11" customWidth="1"/>
    <col min="4" max="4" width="7" style="11" customWidth="1"/>
    <col min="5" max="5" width="8" style="11" customWidth="1"/>
    <col min="6" max="6" width="6.7109375" style="11" customWidth="1"/>
    <col min="7" max="7" width="7.7109375" style="11" customWidth="1"/>
    <col min="8" max="8" width="6.7109375" style="11" customWidth="1"/>
    <col min="9" max="9" width="7.7109375" style="11" customWidth="1"/>
    <col min="10" max="10" width="6.7109375" style="11" customWidth="1"/>
    <col min="11" max="11" width="7.7109375" style="11" customWidth="1"/>
    <col min="12" max="12" width="6.85546875" style="11" customWidth="1"/>
    <col min="13" max="13" width="7.7109375" style="11" customWidth="1"/>
    <col min="14" max="14" width="6.7109375" style="11" customWidth="1"/>
    <col min="15" max="15" width="7.85546875" style="11" customWidth="1"/>
    <col min="16" max="16" width="6.7109375" style="11" customWidth="1"/>
    <col min="17" max="17" width="7.7109375" style="11" customWidth="1"/>
    <col min="18" max="18" width="6.7109375" style="11" customWidth="1"/>
    <col min="19" max="19" width="7.7109375" style="11" customWidth="1"/>
    <col min="20" max="20" width="6.7109375" style="11" customWidth="1"/>
    <col min="21" max="16384" width="9.140625" style="11"/>
  </cols>
  <sheetData>
    <row r="1" spans="1:20" ht="13.5" customHeight="1">
      <c r="A1" s="589"/>
      <c r="B1" s="1825" t="s">
        <v>561</v>
      </c>
      <c r="C1" s="1825"/>
      <c r="D1" s="1825"/>
      <c r="E1" s="1825"/>
      <c r="F1" s="1825"/>
      <c r="G1" s="1825"/>
      <c r="H1" s="1825"/>
      <c r="I1" s="1825"/>
      <c r="J1" s="1825"/>
      <c r="K1" s="1825"/>
      <c r="L1" s="1825"/>
      <c r="M1" s="1825"/>
      <c r="N1" s="1825"/>
      <c r="O1" s="1825"/>
      <c r="P1" s="1825"/>
      <c r="Q1" s="1825"/>
      <c r="R1" s="1825"/>
      <c r="S1" s="1825"/>
      <c r="T1" s="1825"/>
    </row>
    <row r="2" spans="1:20" ht="20.25" customHeight="1">
      <c r="A2" s="589"/>
      <c r="B2" s="2334" t="str">
        <f>CONCATENATE("Population by Religion in the Blocks of ",District!$A$1,)</f>
        <v>Population by Religion in the Blocks of Purba Medinipur</v>
      </c>
      <c r="C2" s="2334"/>
      <c r="D2" s="2334"/>
      <c r="E2" s="2334"/>
      <c r="F2" s="2334"/>
      <c r="G2" s="2334"/>
      <c r="H2" s="2334"/>
      <c r="I2" s="2334"/>
      <c r="J2" s="2334"/>
      <c r="K2" s="2334"/>
      <c r="L2" s="2334"/>
      <c r="M2" s="2334"/>
      <c r="N2" s="2334"/>
      <c r="O2" s="2334"/>
      <c r="P2" s="2334"/>
      <c r="Q2" s="2334"/>
      <c r="R2" s="2334"/>
      <c r="S2" s="2334"/>
      <c r="T2" s="2334"/>
    </row>
    <row r="3" spans="1:20" ht="14.25" customHeight="1">
      <c r="A3" s="589"/>
      <c r="B3" s="2411" t="s">
        <v>367</v>
      </c>
      <c r="C3" s="1831" t="s">
        <v>366</v>
      </c>
      <c r="D3" s="2409" t="s">
        <v>1283</v>
      </c>
      <c r="E3" s="1829" t="s">
        <v>255</v>
      </c>
      <c r="F3" s="1828"/>
      <c r="G3" s="1827" t="s">
        <v>256</v>
      </c>
      <c r="H3" s="1827"/>
      <c r="I3" s="1829" t="s">
        <v>257</v>
      </c>
      <c r="J3" s="1828"/>
      <c r="K3" s="1827" t="s">
        <v>258</v>
      </c>
      <c r="L3" s="1827"/>
      <c r="M3" s="1829" t="s">
        <v>259</v>
      </c>
      <c r="N3" s="1828"/>
      <c r="O3" s="1827" t="s">
        <v>260</v>
      </c>
      <c r="P3" s="1827"/>
      <c r="Q3" s="1829" t="s">
        <v>1128</v>
      </c>
      <c r="R3" s="1828"/>
      <c r="S3" s="1827" t="s">
        <v>979</v>
      </c>
      <c r="T3" s="1828"/>
    </row>
    <row r="4" spans="1:20" ht="66.75" customHeight="1">
      <c r="A4" s="589"/>
      <c r="B4" s="2412"/>
      <c r="C4" s="1832"/>
      <c r="D4" s="2410"/>
      <c r="E4" s="891" t="s">
        <v>910</v>
      </c>
      <c r="F4" s="917" t="s">
        <v>1292</v>
      </c>
      <c r="G4" s="891" t="s">
        <v>910</v>
      </c>
      <c r="H4" s="917" t="s">
        <v>1292</v>
      </c>
      <c r="I4" s="891" t="s">
        <v>910</v>
      </c>
      <c r="J4" s="917" t="s">
        <v>1292</v>
      </c>
      <c r="K4" s="891" t="s">
        <v>910</v>
      </c>
      <c r="L4" s="917" t="s">
        <v>1292</v>
      </c>
      <c r="M4" s="891" t="s">
        <v>910</v>
      </c>
      <c r="N4" s="917" t="s">
        <v>1292</v>
      </c>
      <c r="O4" s="891" t="s">
        <v>910</v>
      </c>
      <c r="P4" s="917" t="s">
        <v>1292</v>
      </c>
      <c r="Q4" s="891" t="s">
        <v>910</v>
      </c>
      <c r="R4" s="917" t="s">
        <v>1292</v>
      </c>
      <c r="S4" s="891" t="s">
        <v>1168</v>
      </c>
      <c r="T4" s="917" t="s">
        <v>1292</v>
      </c>
    </row>
    <row r="5" spans="1:20" ht="13.5" customHeight="1">
      <c r="A5" s="589"/>
      <c r="B5" s="922" t="s">
        <v>955</v>
      </c>
      <c r="C5" s="923" t="s">
        <v>956</v>
      </c>
      <c r="D5" s="924" t="s">
        <v>957</v>
      </c>
      <c r="E5" s="925" t="s">
        <v>958</v>
      </c>
      <c r="F5" s="926" t="s">
        <v>959</v>
      </c>
      <c r="G5" s="923" t="s">
        <v>961</v>
      </c>
      <c r="H5" s="924" t="s">
        <v>962</v>
      </c>
      <c r="I5" s="923" t="s">
        <v>990</v>
      </c>
      <c r="J5" s="927" t="s">
        <v>991</v>
      </c>
      <c r="K5" s="923" t="s">
        <v>992</v>
      </c>
      <c r="L5" s="924" t="s">
        <v>993</v>
      </c>
      <c r="M5" s="923" t="s">
        <v>1046</v>
      </c>
      <c r="N5" s="927" t="s">
        <v>1048</v>
      </c>
      <c r="O5" s="923" t="s">
        <v>1049</v>
      </c>
      <c r="P5" s="924" t="s">
        <v>1050</v>
      </c>
      <c r="Q5" s="923" t="s">
        <v>1051</v>
      </c>
      <c r="R5" s="927" t="s">
        <v>1052</v>
      </c>
      <c r="S5" s="923" t="s">
        <v>1054</v>
      </c>
      <c r="T5" s="927" t="s">
        <v>1053</v>
      </c>
    </row>
    <row r="6" spans="1:20" ht="15" customHeight="1">
      <c r="A6" s="589"/>
      <c r="B6" s="2414">
        <v>1</v>
      </c>
      <c r="C6" s="2413" t="s">
        <v>984</v>
      </c>
      <c r="D6" s="654">
        <v>1981</v>
      </c>
      <c r="E6" s="655">
        <v>232953</v>
      </c>
      <c r="F6" s="656">
        <f t="shared" ref="F6:F29" si="0">ROUND(E6/$S6*100,2)</f>
        <v>87.88</v>
      </c>
      <c r="G6" s="655">
        <v>32123</v>
      </c>
      <c r="H6" s="656">
        <f t="shared" ref="H6:H29" si="1">ROUND(G6/$S6*100,2)</f>
        <v>12.12</v>
      </c>
      <c r="I6" s="655">
        <v>1</v>
      </c>
      <c r="J6" s="656">
        <f>ROUND(I6/$S6*100,5)</f>
        <v>3.8000000000000002E-4</v>
      </c>
      <c r="K6" s="657" t="s">
        <v>1384</v>
      </c>
      <c r="L6" s="656" t="str">
        <f>IF(K6="-","-",ROUND(K6/$S6*100,2))</f>
        <v>-</v>
      </c>
      <c r="M6" s="655">
        <v>5</v>
      </c>
      <c r="N6" s="656">
        <f>ROUND(M6/$S6*100,5)</f>
        <v>1.89E-3</v>
      </c>
      <c r="O6" s="657" t="s">
        <v>1384</v>
      </c>
      <c r="P6" s="656" t="str">
        <f>IF(O6="-","-",ROUND(O6/$S6*100,2))</f>
        <v>-</v>
      </c>
      <c r="Q6" s="657" t="s">
        <v>1384</v>
      </c>
      <c r="R6" s="656" t="str">
        <f>IF(Q6="-","-",ROUND(Q6/$S6*100,2))</f>
        <v>-</v>
      </c>
      <c r="S6" s="658">
        <f>IF(SUM(E6,G6,I6,K6,M6,O6,Q6)=0,"-",SUM(E6,G6,I6,K6,M6,O6,Q6))</f>
        <v>265082</v>
      </c>
      <c r="T6" s="659">
        <f>SUM(F6,H6,J6,L6,N6,P6,R6)</f>
        <v>100.00227000000001</v>
      </c>
    </row>
    <row r="7" spans="1:20" ht="15" customHeight="1">
      <c r="A7" s="589"/>
      <c r="B7" s="2415"/>
      <c r="C7" s="2406"/>
      <c r="D7" s="660">
        <v>1991</v>
      </c>
      <c r="E7" s="597">
        <v>283612</v>
      </c>
      <c r="F7" s="661">
        <f t="shared" si="0"/>
        <v>84.12</v>
      </c>
      <c r="G7" s="597">
        <v>53119</v>
      </c>
      <c r="H7" s="661">
        <f t="shared" si="1"/>
        <v>15.76</v>
      </c>
      <c r="I7" s="597">
        <v>38</v>
      </c>
      <c r="J7" s="661">
        <f>ROUND(I7/$S7*100,2)</f>
        <v>0.01</v>
      </c>
      <c r="K7" s="597">
        <v>15</v>
      </c>
      <c r="L7" s="661">
        <f>ROUND(K7/$S7*100,2)</f>
        <v>0</v>
      </c>
      <c r="M7" s="597">
        <v>5</v>
      </c>
      <c r="N7" s="661">
        <f>ROUND(M7/$S7*100,5)</f>
        <v>1.48E-3</v>
      </c>
      <c r="O7" s="597">
        <v>331</v>
      </c>
      <c r="P7" s="661">
        <f>ROUND(O7/$S7*100,2)</f>
        <v>0.1</v>
      </c>
      <c r="Q7" s="597">
        <v>33</v>
      </c>
      <c r="R7" s="661">
        <f>ROUND(Q7/$S7*100,2)</f>
        <v>0.01</v>
      </c>
      <c r="S7" s="596">
        <f t="shared" ref="S7:S29" si="2">IF(SUM(E7,G7,I7,K7,M7,O7,Q7)=0,"-",SUM(E7,G7,I7,K7,M7,O7,Q7))</f>
        <v>337153</v>
      </c>
      <c r="T7" s="662">
        <f t="shared" ref="T7:T29" si="3">SUM(F7,H7,J7,L7,N7,P7,R7)</f>
        <v>100.00148000000002</v>
      </c>
    </row>
    <row r="8" spans="1:20" ht="18.75" customHeight="1">
      <c r="A8" s="589"/>
      <c r="B8" s="2408">
        <v>2</v>
      </c>
      <c r="C8" s="2406" t="s">
        <v>1599</v>
      </c>
      <c r="D8" s="663">
        <v>1981</v>
      </c>
      <c r="E8" s="597">
        <v>321084</v>
      </c>
      <c r="F8" s="661">
        <f t="shared" si="0"/>
        <v>82.82</v>
      </c>
      <c r="G8" s="597">
        <v>66138</v>
      </c>
      <c r="H8" s="661">
        <f t="shared" si="1"/>
        <v>17.059999999999999</v>
      </c>
      <c r="I8" s="597">
        <v>41</v>
      </c>
      <c r="J8" s="661">
        <f>ROUND(I8/$S8*100,2)</f>
        <v>0.01</v>
      </c>
      <c r="K8" s="597">
        <v>5</v>
      </c>
      <c r="L8" s="661">
        <f>ROUND(K8/$S8*100,5)</f>
        <v>1.2899999999999999E-3</v>
      </c>
      <c r="M8" s="597">
        <v>73</v>
      </c>
      <c r="N8" s="661">
        <f>ROUND(M8/$S8*100,2)</f>
        <v>0.02</v>
      </c>
      <c r="O8" s="597">
        <v>274</v>
      </c>
      <c r="P8" s="661">
        <f>ROUND(O8/$S8*100,2)</f>
        <v>7.0000000000000007E-2</v>
      </c>
      <c r="Q8" s="597">
        <v>60</v>
      </c>
      <c r="R8" s="661">
        <f>ROUND(Q8/$S8*100,2)</f>
        <v>0.02</v>
      </c>
      <c r="S8" s="596">
        <f t="shared" si="2"/>
        <v>387675</v>
      </c>
      <c r="T8" s="662">
        <f t="shared" si="3"/>
        <v>100.00128999999998</v>
      </c>
    </row>
    <row r="9" spans="1:20" ht="18.75" customHeight="1">
      <c r="A9" s="589"/>
      <c r="B9" s="2408"/>
      <c r="C9" s="2406"/>
      <c r="D9" s="660">
        <v>1991</v>
      </c>
      <c r="E9" s="597">
        <v>368721</v>
      </c>
      <c r="F9" s="661">
        <f t="shared" si="0"/>
        <v>75.97</v>
      </c>
      <c r="G9" s="597">
        <v>116229</v>
      </c>
      <c r="H9" s="661">
        <f t="shared" si="1"/>
        <v>23.95</v>
      </c>
      <c r="I9" s="597">
        <v>46</v>
      </c>
      <c r="J9" s="661">
        <f>ROUND(I9/$S9*100,2)</f>
        <v>0.01</v>
      </c>
      <c r="K9" s="597">
        <v>43</v>
      </c>
      <c r="L9" s="661">
        <f>ROUND(K9/$S9*100,2)</f>
        <v>0.01</v>
      </c>
      <c r="M9" s="597">
        <v>22</v>
      </c>
      <c r="N9" s="661">
        <f>ROUND(M9/$S9*100,5)</f>
        <v>4.5300000000000002E-3</v>
      </c>
      <c r="O9" s="664" t="s">
        <v>1384</v>
      </c>
      <c r="P9" s="661" t="str">
        <f t="shared" ref="P9:P23" si="4">IF(O9="-","-",ROUND(O9/$S9*100,2))</f>
        <v>-</v>
      </c>
      <c r="Q9" s="597">
        <v>273</v>
      </c>
      <c r="R9" s="661">
        <f>ROUND(Q9/$S9*100,2)</f>
        <v>0.06</v>
      </c>
      <c r="S9" s="596">
        <f t="shared" si="2"/>
        <v>485334</v>
      </c>
      <c r="T9" s="662">
        <f t="shared" si="3"/>
        <v>100.00453000000002</v>
      </c>
    </row>
    <row r="10" spans="1:20" ht="15" customHeight="1">
      <c r="A10" s="589"/>
      <c r="B10" s="2408">
        <v>3</v>
      </c>
      <c r="C10" s="2407" t="s">
        <v>1390</v>
      </c>
      <c r="D10" s="663">
        <v>1981</v>
      </c>
      <c r="E10" s="597">
        <v>128737</v>
      </c>
      <c r="F10" s="661">
        <f t="shared" si="0"/>
        <v>92.47</v>
      </c>
      <c r="G10" s="597">
        <v>10487</v>
      </c>
      <c r="H10" s="661">
        <f t="shared" si="1"/>
        <v>7.53</v>
      </c>
      <c r="I10" s="664" t="s">
        <v>1384</v>
      </c>
      <c r="J10" s="661" t="str">
        <f>IF(I10="-","-",ROUND(I10/$S10*100,2))</f>
        <v>-</v>
      </c>
      <c r="K10" s="664" t="s">
        <v>1384</v>
      </c>
      <c r="L10" s="661" t="str">
        <f>IF(K10="-","-",ROUND(K10/$S10*100,2))</f>
        <v>-</v>
      </c>
      <c r="M10" s="664" t="s">
        <v>1384</v>
      </c>
      <c r="N10" s="661" t="str">
        <f>IF(M10="-","-",ROUND(M10/$S10*100,2))</f>
        <v>-</v>
      </c>
      <c r="O10" s="664" t="s">
        <v>1384</v>
      </c>
      <c r="P10" s="661" t="str">
        <f t="shared" si="4"/>
        <v>-</v>
      </c>
      <c r="Q10" s="664" t="s">
        <v>1384</v>
      </c>
      <c r="R10" s="661" t="str">
        <f>IF(Q10="-","-",ROUND(Q10/$S10*100,2))</f>
        <v>-</v>
      </c>
      <c r="S10" s="596">
        <f t="shared" si="2"/>
        <v>139224</v>
      </c>
      <c r="T10" s="662">
        <f t="shared" si="3"/>
        <v>100</v>
      </c>
    </row>
    <row r="11" spans="1:20" ht="15" customHeight="1">
      <c r="A11" s="589"/>
      <c r="B11" s="2408"/>
      <c r="C11" s="2407"/>
      <c r="D11" s="660">
        <v>1991</v>
      </c>
      <c r="E11" s="597">
        <v>160491</v>
      </c>
      <c r="F11" s="661">
        <f t="shared" si="0"/>
        <v>92.07</v>
      </c>
      <c r="G11" s="597">
        <v>13802</v>
      </c>
      <c r="H11" s="661">
        <f t="shared" si="1"/>
        <v>7.92</v>
      </c>
      <c r="I11" s="664" t="s">
        <v>1384</v>
      </c>
      <c r="J11" s="661" t="str">
        <f>IF(I11="-","-",ROUND(I11/$S11*100,2))</f>
        <v>-</v>
      </c>
      <c r="K11" s="664" t="s">
        <v>1384</v>
      </c>
      <c r="L11" s="661" t="str">
        <f>IF(K11="-","-",ROUND(K11/$S11*100,2))</f>
        <v>-</v>
      </c>
      <c r="M11" s="664" t="s">
        <v>1384</v>
      </c>
      <c r="N11" s="661" t="str">
        <f>IF(M11="-","-",ROUND(M11/$S11*100,2))</f>
        <v>-</v>
      </c>
      <c r="O11" s="664" t="s">
        <v>1384</v>
      </c>
      <c r="P11" s="661" t="str">
        <f t="shared" si="4"/>
        <v>-</v>
      </c>
      <c r="Q11" s="597">
        <v>16</v>
      </c>
      <c r="R11" s="661">
        <f>ROUND(Q11/$S11*100,2)</f>
        <v>0.01</v>
      </c>
      <c r="S11" s="596">
        <f t="shared" si="2"/>
        <v>174309</v>
      </c>
      <c r="T11" s="662">
        <f t="shared" si="3"/>
        <v>100</v>
      </c>
    </row>
    <row r="12" spans="1:20" ht="15" customHeight="1">
      <c r="A12" s="589"/>
      <c r="B12" s="2408">
        <v>4</v>
      </c>
      <c r="C12" s="2406" t="s">
        <v>985</v>
      </c>
      <c r="D12" s="663">
        <v>1981</v>
      </c>
      <c r="E12" s="597">
        <v>248999</v>
      </c>
      <c r="F12" s="661">
        <f t="shared" si="0"/>
        <v>88.35</v>
      </c>
      <c r="G12" s="597">
        <v>32510</v>
      </c>
      <c r="H12" s="661">
        <f t="shared" si="1"/>
        <v>11.54</v>
      </c>
      <c r="I12" s="597">
        <v>322</v>
      </c>
      <c r="J12" s="661">
        <f>ROUND(I12/$S12*100,2)</f>
        <v>0.11</v>
      </c>
      <c r="K12" s="597">
        <v>5</v>
      </c>
      <c r="L12" s="661">
        <f>ROUND(K12/$S12*100,5)</f>
        <v>1.7700000000000001E-3</v>
      </c>
      <c r="M12" s="664" t="s">
        <v>1384</v>
      </c>
      <c r="N12" s="661" t="str">
        <f>IF(M12="-","-",ROUND(M12/$S12*100,2))</f>
        <v>-</v>
      </c>
      <c r="O12" s="664" t="s">
        <v>1384</v>
      </c>
      <c r="P12" s="661" t="str">
        <f t="shared" si="4"/>
        <v>-</v>
      </c>
      <c r="Q12" s="664" t="s">
        <v>1384</v>
      </c>
      <c r="R12" s="661" t="str">
        <f>IF(Q12="-","-",ROUND(Q12/$S12*100,2))</f>
        <v>-</v>
      </c>
      <c r="S12" s="596">
        <f t="shared" si="2"/>
        <v>281836</v>
      </c>
      <c r="T12" s="662">
        <f t="shared" si="3"/>
        <v>100.00176999999998</v>
      </c>
    </row>
    <row r="13" spans="1:20" ht="15" customHeight="1">
      <c r="A13" s="589"/>
      <c r="B13" s="2408"/>
      <c r="C13" s="2406"/>
      <c r="D13" s="660">
        <v>1991</v>
      </c>
      <c r="E13" s="597">
        <v>306198</v>
      </c>
      <c r="F13" s="661">
        <f t="shared" si="0"/>
        <v>85.74</v>
      </c>
      <c r="G13" s="597">
        <v>50228</v>
      </c>
      <c r="H13" s="661">
        <f t="shared" si="1"/>
        <v>14.06</v>
      </c>
      <c r="I13" s="597">
        <v>689</v>
      </c>
      <c r="J13" s="661">
        <f>ROUND(I13/$S13*100,2)</f>
        <v>0.19</v>
      </c>
      <c r="K13" s="664" t="s">
        <v>1384</v>
      </c>
      <c r="L13" s="661" t="str">
        <f>IF(K13="-","-",ROUND(K13/$S13*100,2))</f>
        <v>-</v>
      </c>
      <c r="M13" s="597">
        <v>7</v>
      </c>
      <c r="N13" s="661">
        <f>ROUND(M13/$S13*100,5)</f>
        <v>1.9599999999999999E-3</v>
      </c>
      <c r="O13" s="664" t="s">
        <v>1384</v>
      </c>
      <c r="P13" s="661" t="str">
        <f t="shared" si="4"/>
        <v>-</v>
      </c>
      <c r="Q13" s="597">
        <v>21</v>
      </c>
      <c r="R13" s="661">
        <f>ROUND(Q13/$S13*100,2)</f>
        <v>0.01</v>
      </c>
      <c r="S13" s="596">
        <f t="shared" si="2"/>
        <v>357143</v>
      </c>
      <c r="T13" s="662">
        <f t="shared" si="3"/>
        <v>100.00196</v>
      </c>
    </row>
    <row r="14" spans="1:20" ht="24" customHeight="1">
      <c r="A14" s="589"/>
      <c r="B14" s="2408">
        <v>5</v>
      </c>
      <c r="C14" s="2406" t="s">
        <v>1600</v>
      </c>
      <c r="D14" s="663">
        <v>1981</v>
      </c>
      <c r="E14" s="597">
        <v>257937</v>
      </c>
      <c r="F14" s="661">
        <f t="shared" si="0"/>
        <v>84.16</v>
      </c>
      <c r="G14" s="597">
        <v>48538</v>
      </c>
      <c r="H14" s="661">
        <f t="shared" si="1"/>
        <v>15.84</v>
      </c>
      <c r="I14" s="664" t="s">
        <v>1384</v>
      </c>
      <c r="J14" s="661" t="str">
        <f>IF(I14="-","-",ROUND(I14/$S14*100,2))</f>
        <v>-</v>
      </c>
      <c r="K14" s="664" t="s">
        <v>1384</v>
      </c>
      <c r="L14" s="661" t="str">
        <f>IF(K14="-","-",ROUND(K14/$S14*100,2))</f>
        <v>-</v>
      </c>
      <c r="M14" s="664" t="s">
        <v>1384</v>
      </c>
      <c r="N14" s="661" t="str">
        <f>IF(M14="-","-",ROUND(M14/$S14*100,2))</f>
        <v>-</v>
      </c>
      <c r="O14" s="664" t="s">
        <v>1384</v>
      </c>
      <c r="P14" s="661" t="str">
        <f t="shared" si="4"/>
        <v>-</v>
      </c>
      <c r="Q14" s="664" t="s">
        <v>1384</v>
      </c>
      <c r="R14" s="661" t="str">
        <f>IF(Q14="-","-",ROUND(Q14/$S14*100,2))</f>
        <v>-</v>
      </c>
      <c r="S14" s="596">
        <f t="shared" si="2"/>
        <v>306475</v>
      </c>
      <c r="T14" s="662">
        <f t="shared" si="3"/>
        <v>100</v>
      </c>
    </row>
    <row r="15" spans="1:20" ht="24" customHeight="1">
      <c r="A15" s="589"/>
      <c r="B15" s="2408"/>
      <c r="C15" s="2406"/>
      <c r="D15" s="660">
        <v>1991</v>
      </c>
      <c r="E15" s="597">
        <v>309141</v>
      </c>
      <c r="F15" s="661">
        <f t="shared" si="0"/>
        <v>80.48</v>
      </c>
      <c r="G15" s="597">
        <v>74962</v>
      </c>
      <c r="H15" s="661">
        <f t="shared" si="1"/>
        <v>19.52</v>
      </c>
      <c r="I15" s="664" t="s">
        <v>1384</v>
      </c>
      <c r="J15" s="661" t="str">
        <f>IF(I15="-","-",ROUND(I15/$S15*100,2))</f>
        <v>-</v>
      </c>
      <c r="K15" s="664" t="s">
        <v>1384</v>
      </c>
      <c r="L15" s="661" t="str">
        <f>IF(K15="-","-",ROUND(K15/$S15*100,2))</f>
        <v>-</v>
      </c>
      <c r="M15" s="664" t="s">
        <v>1384</v>
      </c>
      <c r="N15" s="661" t="str">
        <f>IF(M15="-","-",ROUND(M15/$S15*100,2))</f>
        <v>-</v>
      </c>
      <c r="O15" s="664" t="s">
        <v>1384</v>
      </c>
      <c r="P15" s="661" t="str">
        <f t="shared" si="4"/>
        <v>-</v>
      </c>
      <c r="Q15" s="664" t="s">
        <v>1384</v>
      </c>
      <c r="R15" s="661" t="str">
        <f>IF(Q15="-","-",ROUND(Q15/$S15*100,2))</f>
        <v>-</v>
      </c>
      <c r="S15" s="596">
        <f t="shared" si="2"/>
        <v>384103</v>
      </c>
      <c r="T15" s="662">
        <f t="shared" si="3"/>
        <v>100</v>
      </c>
    </row>
    <row r="16" spans="1:20" ht="15" customHeight="1">
      <c r="A16" s="589"/>
      <c r="B16" s="2408">
        <v>6</v>
      </c>
      <c r="C16" s="2406" t="s">
        <v>986</v>
      </c>
      <c r="D16" s="663">
        <v>1981</v>
      </c>
      <c r="E16" s="597">
        <v>164135</v>
      </c>
      <c r="F16" s="661">
        <f t="shared" si="0"/>
        <v>82.78</v>
      </c>
      <c r="G16" s="597">
        <v>34038</v>
      </c>
      <c r="H16" s="661">
        <f t="shared" si="1"/>
        <v>17.170000000000002</v>
      </c>
      <c r="I16" s="597">
        <v>72</v>
      </c>
      <c r="J16" s="661">
        <f>ROUND(I16/$S16*100,2)</f>
        <v>0.04</v>
      </c>
      <c r="K16" s="597">
        <v>24</v>
      </c>
      <c r="L16" s="661">
        <f>ROUND(K16/$S16*100,2)</f>
        <v>0.01</v>
      </c>
      <c r="M16" s="664" t="s">
        <v>1384</v>
      </c>
      <c r="N16" s="661" t="str">
        <f>IF(M16="-","-",ROUND(M16/$S16*100,2))</f>
        <v>-</v>
      </c>
      <c r="O16" s="664" t="s">
        <v>1384</v>
      </c>
      <c r="P16" s="661" t="str">
        <f t="shared" si="4"/>
        <v>-</v>
      </c>
      <c r="Q16" s="597">
        <v>1</v>
      </c>
      <c r="R16" s="661">
        <f>ROUND(Q16/$S16*100,5)</f>
        <v>5.0000000000000001E-4</v>
      </c>
      <c r="S16" s="596">
        <f t="shared" si="2"/>
        <v>198270</v>
      </c>
      <c r="T16" s="662">
        <f t="shared" si="3"/>
        <v>100.00050000000002</v>
      </c>
    </row>
    <row r="17" spans="1:25" ht="15" customHeight="1">
      <c r="A17" s="589"/>
      <c r="B17" s="2408"/>
      <c r="C17" s="2406"/>
      <c r="D17" s="660">
        <v>1991</v>
      </c>
      <c r="E17" s="597">
        <v>157893</v>
      </c>
      <c r="F17" s="661">
        <f t="shared" si="0"/>
        <v>80.150000000000006</v>
      </c>
      <c r="G17" s="597">
        <v>39092</v>
      </c>
      <c r="H17" s="661">
        <f>ROUND(G17/$S17*100,2)+0.01</f>
        <v>19.850000000000001</v>
      </c>
      <c r="I17" s="664" t="s">
        <v>1384</v>
      </c>
      <c r="J17" s="661" t="str">
        <f>IF(I17="-","-",ROUND(I17/$S17*100,2))</f>
        <v>-</v>
      </c>
      <c r="K17" s="597">
        <v>2</v>
      </c>
      <c r="L17" s="661">
        <f>ROUND(K17/$S17*100,5)</f>
        <v>1.0200000000000001E-3</v>
      </c>
      <c r="M17" s="664" t="s">
        <v>1384</v>
      </c>
      <c r="N17" s="661" t="str">
        <f>IF(M17="-","-",ROUND(M17/$S17*100,2))</f>
        <v>-</v>
      </c>
      <c r="O17" s="664" t="s">
        <v>1384</v>
      </c>
      <c r="P17" s="661" t="str">
        <f t="shared" si="4"/>
        <v>-</v>
      </c>
      <c r="Q17" s="597">
        <v>8</v>
      </c>
      <c r="R17" s="661">
        <f>ROUND(Q17/$S17*100,2)</f>
        <v>0</v>
      </c>
      <c r="S17" s="596">
        <f t="shared" si="2"/>
        <v>196995</v>
      </c>
      <c r="T17" s="662">
        <f t="shared" si="3"/>
        <v>100.00102</v>
      </c>
    </row>
    <row r="18" spans="1:25" ht="15" customHeight="1">
      <c r="A18" s="589"/>
      <c r="B18" s="2408">
        <v>7</v>
      </c>
      <c r="C18" s="2406" t="s">
        <v>1293</v>
      </c>
      <c r="D18" s="663">
        <v>1981</v>
      </c>
      <c r="E18" s="597">
        <v>201077</v>
      </c>
      <c r="F18" s="661">
        <f t="shared" si="0"/>
        <v>93.65</v>
      </c>
      <c r="G18" s="597">
        <v>13643</v>
      </c>
      <c r="H18" s="661">
        <f t="shared" si="1"/>
        <v>6.35</v>
      </c>
      <c r="I18" s="664" t="s">
        <v>1384</v>
      </c>
      <c r="J18" s="661" t="str">
        <f>IF(I18="-","-",ROUND(I18/$S18*100,2))</f>
        <v>-</v>
      </c>
      <c r="K18" s="664" t="s">
        <v>1384</v>
      </c>
      <c r="L18" s="661" t="str">
        <f>IF(K18="-","-",ROUND(K18/$S18*100,2))</f>
        <v>-</v>
      </c>
      <c r="M18" s="664" t="s">
        <v>1384</v>
      </c>
      <c r="N18" s="661" t="str">
        <f>IF(M18="-","-",ROUND(M18/$S18*100,2))</f>
        <v>-</v>
      </c>
      <c r="O18" s="664" t="s">
        <v>1384</v>
      </c>
      <c r="P18" s="661" t="str">
        <f t="shared" si="4"/>
        <v>-</v>
      </c>
      <c r="Q18" s="664" t="s">
        <v>1384</v>
      </c>
      <c r="R18" s="661" t="str">
        <f>IF(Q18="-","-",ROUND(Q18/$S18*100,2))</f>
        <v>-</v>
      </c>
      <c r="S18" s="596">
        <f t="shared" si="2"/>
        <v>214720</v>
      </c>
      <c r="T18" s="662">
        <f t="shared" si="3"/>
        <v>100</v>
      </c>
    </row>
    <row r="19" spans="1:25" ht="15" customHeight="1">
      <c r="A19" s="589"/>
      <c r="B19" s="2408"/>
      <c r="C19" s="2406"/>
      <c r="D19" s="660">
        <v>1991</v>
      </c>
      <c r="E19" s="597">
        <v>246578</v>
      </c>
      <c r="F19" s="661">
        <f>ROUND(E19/$S19*100,2)+0.01</f>
        <v>92.52000000000001</v>
      </c>
      <c r="G19" s="597">
        <v>19759</v>
      </c>
      <c r="H19" s="661">
        <f t="shared" si="1"/>
        <v>7.41</v>
      </c>
      <c r="I19" s="597">
        <v>4</v>
      </c>
      <c r="J19" s="661">
        <f>ROUND(I19/$S19*100,5)</f>
        <v>1.5E-3</v>
      </c>
      <c r="K19" s="597">
        <v>6</v>
      </c>
      <c r="L19" s="661">
        <f>ROUND(K19/$S19*100,2)</f>
        <v>0</v>
      </c>
      <c r="M19" s="597">
        <v>1</v>
      </c>
      <c r="N19" s="661">
        <f>ROUND(M19/$S19*100,2)</f>
        <v>0</v>
      </c>
      <c r="O19" s="664" t="s">
        <v>1384</v>
      </c>
      <c r="P19" s="661" t="str">
        <f t="shared" si="4"/>
        <v>-</v>
      </c>
      <c r="Q19" s="597">
        <v>192</v>
      </c>
      <c r="R19" s="661">
        <f>ROUND(Q19/$S19*100,2)</f>
        <v>7.0000000000000007E-2</v>
      </c>
      <c r="S19" s="596">
        <f t="shared" si="2"/>
        <v>266540</v>
      </c>
      <c r="T19" s="662">
        <f t="shared" si="3"/>
        <v>100.00149999999999</v>
      </c>
    </row>
    <row r="20" spans="1:25" ht="15" customHeight="1">
      <c r="A20" s="589"/>
      <c r="B20" s="2408">
        <v>8</v>
      </c>
      <c r="C20" s="2406" t="s">
        <v>987</v>
      </c>
      <c r="D20" s="663">
        <v>1981</v>
      </c>
      <c r="E20" s="597">
        <v>152422</v>
      </c>
      <c r="F20" s="661">
        <f t="shared" si="0"/>
        <v>94.49</v>
      </c>
      <c r="G20" s="597">
        <v>8891</v>
      </c>
      <c r="H20" s="661">
        <f t="shared" si="1"/>
        <v>5.51</v>
      </c>
      <c r="I20" s="597">
        <v>3</v>
      </c>
      <c r="J20" s="661">
        <f>ROUND(I20/$S20*100,5)</f>
        <v>1.8600000000000001E-3</v>
      </c>
      <c r="K20" s="664" t="s">
        <v>1384</v>
      </c>
      <c r="L20" s="661" t="str">
        <f>IF(K20="-","-",ROUND(K20/$S20*100,2))</f>
        <v>-</v>
      </c>
      <c r="M20" s="664" t="s">
        <v>1384</v>
      </c>
      <c r="N20" s="661" t="str">
        <f>IF(M20="-","-",ROUND(M20/$S20*100,2))</f>
        <v>-</v>
      </c>
      <c r="O20" s="664" t="s">
        <v>1384</v>
      </c>
      <c r="P20" s="661" t="str">
        <f t="shared" si="4"/>
        <v>-</v>
      </c>
      <c r="Q20" s="664" t="s">
        <v>1384</v>
      </c>
      <c r="R20" s="661" t="str">
        <f>IF(Q20="-","-",ROUND(Q20/$S20*100,2))</f>
        <v>-</v>
      </c>
      <c r="S20" s="596">
        <f t="shared" si="2"/>
        <v>161316</v>
      </c>
      <c r="T20" s="662">
        <f t="shared" si="3"/>
        <v>100.00185999999999</v>
      </c>
    </row>
    <row r="21" spans="1:25" ht="15" customHeight="1">
      <c r="A21" s="589"/>
      <c r="B21" s="2408"/>
      <c r="C21" s="2406"/>
      <c r="D21" s="660">
        <v>1991</v>
      </c>
      <c r="E21" s="597">
        <v>186600</v>
      </c>
      <c r="F21" s="661">
        <f t="shared" si="0"/>
        <v>93.58</v>
      </c>
      <c r="G21" s="597">
        <v>12792</v>
      </c>
      <c r="H21" s="661">
        <f t="shared" si="1"/>
        <v>6.42</v>
      </c>
      <c r="I21" s="597">
        <v>1</v>
      </c>
      <c r="J21" s="661">
        <f>ROUND(I21/$S21*100,5)</f>
        <v>5.0000000000000001E-4</v>
      </c>
      <c r="K21" s="664" t="s">
        <v>1384</v>
      </c>
      <c r="L21" s="661" t="str">
        <f>IF(K21="-","-",ROUND(K21/$S21*100,2))</f>
        <v>-</v>
      </c>
      <c r="M21" s="597">
        <v>5</v>
      </c>
      <c r="N21" s="661">
        <f>ROUND(M21/$S21*100,2)</f>
        <v>0</v>
      </c>
      <c r="O21" s="664" t="s">
        <v>1384</v>
      </c>
      <c r="P21" s="661" t="str">
        <f t="shared" si="4"/>
        <v>-</v>
      </c>
      <c r="Q21" s="597">
        <v>4</v>
      </c>
      <c r="R21" s="661">
        <f>ROUND(Q21/$S21*100,5)</f>
        <v>2.0100000000000001E-3</v>
      </c>
      <c r="S21" s="596">
        <f t="shared" si="2"/>
        <v>199402</v>
      </c>
      <c r="T21" s="662">
        <f t="shared" si="3"/>
        <v>100.00251</v>
      </c>
    </row>
    <row r="22" spans="1:25" ht="15" customHeight="1">
      <c r="A22" s="589"/>
      <c r="B22" s="2408">
        <v>9</v>
      </c>
      <c r="C22" s="2418" t="s">
        <v>869</v>
      </c>
      <c r="D22" s="663">
        <v>1981</v>
      </c>
      <c r="E22" s="597">
        <v>250806</v>
      </c>
      <c r="F22" s="661">
        <f t="shared" si="0"/>
        <v>96.86</v>
      </c>
      <c r="G22" s="597">
        <v>8143</v>
      </c>
      <c r="H22" s="661">
        <f t="shared" si="1"/>
        <v>3.14</v>
      </c>
      <c r="I22" s="664" t="s">
        <v>1384</v>
      </c>
      <c r="J22" s="661" t="str">
        <f>IF(I22="-","-",ROUND(I22/$S22*100,2))</f>
        <v>-</v>
      </c>
      <c r="K22" s="664" t="s">
        <v>1384</v>
      </c>
      <c r="L22" s="661" t="str">
        <f>IF(K22="-","-",ROUND(K22/$S22*100,2))</f>
        <v>-</v>
      </c>
      <c r="M22" s="664" t="s">
        <v>1384</v>
      </c>
      <c r="N22" s="661" t="str">
        <f>IF(M22="-","-",ROUND(M22/$S22*100,2))</f>
        <v>-</v>
      </c>
      <c r="O22" s="664" t="s">
        <v>1384</v>
      </c>
      <c r="P22" s="661" t="str">
        <f t="shared" si="4"/>
        <v>-</v>
      </c>
      <c r="Q22" s="664" t="s">
        <v>1384</v>
      </c>
      <c r="R22" s="661" t="str">
        <f>IF(Q22="-","-",ROUND(Q22/$S22*100,2))</f>
        <v>-</v>
      </c>
      <c r="S22" s="596">
        <f t="shared" si="2"/>
        <v>258949</v>
      </c>
      <c r="T22" s="662">
        <f t="shared" si="3"/>
        <v>100</v>
      </c>
    </row>
    <row r="23" spans="1:25" ht="15" customHeight="1">
      <c r="A23" s="589"/>
      <c r="B23" s="2408"/>
      <c r="C23" s="2418"/>
      <c r="D23" s="660">
        <v>1991</v>
      </c>
      <c r="E23" s="597">
        <v>298376</v>
      </c>
      <c r="F23" s="661">
        <f t="shared" si="0"/>
        <v>93.4</v>
      </c>
      <c r="G23" s="597">
        <v>21070</v>
      </c>
      <c r="H23" s="661">
        <f>ROUND(G23/$S23*100,2)-0.01</f>
        <v>6.59</v>
      </c>
      <c r="I23" s="664" t="s">
        <v>1384</v>
      </c>
      <c r="J23" s="661" t="str">
        <f>IF(I23="-","-",ROUND(I23/$S23*100,2))</f>
        <v>-</v>
      </c>
      <c r="K23" s="664" t="s">
        <v>1384</v>
      </c>
      <c r="L23" s="661" t="str">
        <f>IF(K23="-","-",ROUND(K23/$S23*100,2))</f>
        <v>-</v>
      </c>
      <c r="M23" s="664" t="s">
        <v>1384</v>
      </c>
      <c r="N23" s="661" t="str">
        <f>IF(M23="-","-",ROUND(M23/$S23*100,2))</f>
        <v>-</v>
      </c>
      <c r="O23" s="664" t="s">
        <v>1384</v>
      </c>
      <c r="P23" s="661" t="str">
        <f t="shared" si="4"/>
        <v>-</v>
      </c>
      <c r="Q23" s="597">
        <v>21</v>
      </c>
      <c r="R23" s="661">
        <f>ROUND(Q23/$S23*100,2)</f>
        <v>0.01</v>
      </c>
      <c r="S23" s="596">
        <f t="shared" si="2"/>
        <v>319467</v>
      </c>
      <c r="T23" s="662">
        <f t="shared" si="3"/>
        <v>100.00000000000001</v>
      </c>
    </row>
    <row r="24" spans="1:25" ht="15" customHeight="1">
      <c r="A24" s="589"/>
      <c r="B24" s="2408">
        <v>10</v>
      </c>
      <c r="C24" s="2418" t="s">
        <v>988</v>
      </c>
      <c r="D24" s="663">
        <v>1981</v>
      </c>
      <c r="E24" s="597">
        <v>187479</v>
      </c>
      <c r="F24" s="661">
        <f t="shared" si="0"/>
        <v>92.38</v>
      </c>
      <c r="G24" s="597">
        <v>15335</v>
      </c>
      <c r="H24" s="661">
        <f t="shared" si="1"/>
        <v>7.56</v>
      </c>
      <c r="I24" s="597">
        <v>76</v>
      </c>
      <c r="J24" s="661">
        <f>ROUND(I24/$S24*100,2)</f>
        <v>0.04</v>
      </c>
      <c r="K24" s="597">
        <v>39</v>
      </c>
      <c r="L24" s="661">
        <f>ROUND(K24/$S24*100,2)</f>
        <v>0.02</v>
      </c>
      <c r="M24" s="596">
        <v>10</v>
      </c>
      <c r="N24" s="661">
        <f>ROUND(M24/$S24*100,5)</f>
        <v>4.9300000000000004E-3</v>
      </c>
      <c r="O24" s="597">
        <v>1</v>
      </c>
      <c r="P24" s="661">
        <f>ROUND(O24/$S24*100,2)</f>
        <v>0</v>
      </c>
      <c r="Q24" s="664" t="s">
        <v>1384</v>
      </c>
      <c r="R24" s="661" t="str">
        <f>IF(Q24="-","-",ROUND(Q24/$S24*100,2))</f>
        <v>-</v>
      </c>
      <c r="S24" s="596">
        <f t="shared" si="2"/>
        <v>202940</v>
      </c>
      <c r="T24" s="662">
        <f t="shared" si="3"/>
        <v>100.00493</v>
      </c>
    </row>
    <row r="25" spans="1:25" ht="15" customHeight="1">
      <c r="A25" s="589"/>
      <c r="B25" s="2408"/>
      <c r="C25" s="2418"/>
      <c r="D25" s="660">
        <v>1991</v>
      </c>
      <c r="E25" s="597">
        <v>230473</v>
      </c>
      <c r="F25" s="661">
        <f>ROUND(E25/$S25*100,2)-0.01</f>
        <v>91.059999999999988</v>
      </c>
      <c r="G25" s="597">
        <v>22537</v>
      </c>
      <c r="H25" s="661">
        <f t="shared" si="1"/>
        <v>8.9</v>
      </c>
      <c r="I25" s="597">
        <v>13</v>
      </c>
      <c r="J25" s="661">
        <f>ROUND(I25/$S25*100,2)</f>
        <v>0.01</v>
      </c>
      <c r="K25" s="597">
        <v>42</v>
      </c>
      <c r="L25" s="661">
        <f>ROUND(K25/$S25*100,2)</f>
        <v>0.02</v>
      </c>
      <c r="M25" s="586">
        <v>17</v>
      </c>
      <c r="N25" s="661">
        <f>ROUND(M25/$S25*100,2)</f>
        <v>0.01</v>
      </c>
      <c r="O25" s="664" t="s">
        <v>1384</v>
      </c>
      <c r="P25" s="661" t="str">
        <f>IF(O25="-","-",ROUND(O25/$S25*100,2))</f>
        <v>-</v>
      </c>
      <c r="Q25" s="597">
        <v>4</v>
      </c>
      <c r="R25" s="661">
        <f>ROUND(Q25/$S25*100,5)</f>
        <v>1.58E-3</v>
      </c>
      <c r="S25" s="596">
        <f t="shared" si="2"/>
        <v>253086</v>
      </c>
      <c r="T25" s="662">
        <f t="shared" si="3"/>
        <v>100.00158</v>
      </c>
    </row>
    <row r="26" spans="1:25" ht="15" customHeight="1">
      <c r="A26" s="589"/>
      <c r="B26" s="2408">
        <v>11</v>
      </c>
      <c r="C26" s="2406" t="s">
        <v>989</v>
      </c>
      <c r="D26" s="663">
        <v>1981</v>
      </c>
      <c r="E26" s="597">
        <v>211024</v>
      </c>
      <c r="F26" s="661">
        <f t="shared" si="0"/>
        <v>92.72</v>
      </c>
      <c r="G26" s="597">
        <v>16359</v>
      </c>
      <c r="H26" s="661">
        <f t="shared" si="1"/>
        <v>7.19</v>
      </c>
      <c r="I26" s="597">
        <v>96</v>
      </c>
      <c r="J26" s="661">
        <f>ROUND(I26/$S26*100,2)</f>
        <v>0.04</v>
      </c>
      <c r="K26" s="664" t="s">
        <v>1384</v>
      </c>
      <c r="L26" s="661" t="str">
        <f>IF(K26="-","-",ROUND(K26/$S26*100,2))</f>
        <v>-</v>
      </c>
      <c r="M26" s="664" t="s">
        <v>1384</v>
      </c>
      <c r="N26" s="661" t="str">
        <f>IF(M26="-","-",ROUND(M26/$S26*100,2))</f>
        <v>-</v>
      </c>
      <c r="O26" s="597">
        <v>7</v>
      </c>
      <c r="P26" s="661">
        <f>ROUND(O26/$S26*100,5)</f>
        <v>3.0799999999999998E-3</v>
      </c>
      <c r="Q26" s="597">
        <v>108</v>
      </c>
      <c r="R26" s="661">
        <f>ROUND(Q26/$S26*100,2)</f>
        <v>0.05</v>
      </c>
      <c r="S26" s="596">
        <f t="shared" si="2"/>
        <v>227594</v>
      </c>
      <c r="T26" s="662">
        <f t="shared" si="3"/>
        <v>100.00308</v>
      </c>
    </row>
    <row r="27" spans="1:25" ht="15" customHeight="1">
      <c r="A27" s="589"/>
      <c r="B27" s="2408"/>
      <c r="C27" s="2406"/>
      <c r="D27" s="660">
        <v>1991</v>
      </c>
      <c r="E27" s="597">
        <v>264292</v>
      </c>
      <c r="F27" s="661">
        <f t="shared" si="0"/>
        <v>91.84</v>
      </c>
      <c r="G27" s="597">
        <v>23477</v>
      </c>
      <c r="H27" s="661">
        <f t="shared" si="1"/>
        <v>8.16</v>
      </c>
      <c r="I27" s="597">
        <v>7</v>
      </c>
      <c r="J27" s="661">
        <f>ROUND(I27/$S27*100,5)</f>
        <v>2.4299999999999999E-3</v>
      </c>
      <c r="K27" s="664" t="s">
        <v>1384</v>
      </c>
      <c r="L27" s="661" t="str">
        <f>IF(K27="-","-",ROUND(K27/$S27*100,2))</f>
        <v>-</v>
      </c>
      <c r="M27" s="664" t="s">
        <v>1384</v>
      </c>
      <c r="N27" s="661" t="str">
        <f>IF(M27="-","-",ROUND(M27/$S27*100,2))</f>
        <v>-</v>
      </c>
      <c r="O27" s="664" t="s">
        <v>1384</v>
      </c>
      <c r="P27" s="661" t="str">
        <f>IF(O27="-","-",ROUND(O27/$S27*100,2))</f>
        <v>-</v>
      </c>
      <c r="Q27" s="597">
        <v>7</v>
      </c>
      <c r="R27" s="661">
        <f>ROUND(Q27/$S27*100,2)</f>
        <v>0</v>
      </c>
      <c r="S27" s="596">
        <f t="shared" si="2"/>
        <v>287783</v>
      </c>
      <c r="T27" s="662">
        <f t="shared" si="3"/>
        <v>100.00243</v>
      </c>
    </row>
    <row r="28" spans="1:25" ht="23.25" customHeight="1">
      <c r="A28" s="589"/>
      <c r="B28" s="2408">
        <v>12</v>
      </c>
      <c r="C28" s="2406" t="s">
        <v>472</v>
      </c>
      <c r="D28" s="663">
        <v>1981</v>
      </c>
      <c r="E28" s="597">
        <v>292055</v>
      </c>
      <c r="F28" s="661">
        <f t="shared" si="0"/>
        <v>92.85</v>
      </c>
      <c r="G28" s="597">
        <v>22479</v>
      </c>
      <c r="H28" s="661">
        <f t="shared" si="1"/>
        <v>7.15</v>
      </c>
      <c r="I28" s="597">
        <v>7</v>
      </c>
      <c r="J28" s="661">
        <f>ROUND(I28/$S28*100,5)</f>
        <v>2.2300000000000002E-3</v>
      </c>
      <c r="K28" s="664" t="s">
        <v>1384</v>
      </c>
      <c r="L28" s="661" t="str">
        <f>IF(K28="-","-",ROUND(K28/$S28*100,2))</f>
        <v>-</v>
      </c>
      <c r="M28" s="664" t="s">
        <v>1384</v>
      </c>
      <c r="N28" s="661" t="str">
        <f>IF(M28="-","-",ROUND(M28/$S28*100,2))</f>
        <v>-</v>
      </c>
      <c r="O28" s="597">
        <v>7</v>
      </c>
      <c r="P28" s="661">
        <f>ROUND(O28/$S28*100,5)</f>
        <v>2.2300000000000002E-3</v>
      </c>
      <c r="Q28" s="664" t="s">
        <v>1384</v>
      </c>
      <c r="R28" s="661" t="str">
        <f>IF(Q28="-","-",ROUND(Q28/$S28*100,2))</f>
        <v>-</v>
      </c>
      <c r="S28" s="596">
        <f t="shared" si="2"/>
        <v>314548</v>
      </c>
      <c r="T28" s="662">
        <f t="shared" si="3"/>
        <v>100.00445999999999</v>
      </c>
      <c r="U28" s="84"/>
      <c r="V28" s="68"/>
      <c r="W28" s="84"/>
      <c r="Y28" s="84"/>
    </row>
    <row r="29" spans="1:25" ht="23.25" customHeight="1">
      <c r="A29" s="589"/>
      <c r="B29" s="2416"/>
      <c r="C29" s="2417"/>
      <c r="D29" s="665">
        <v>1991</v>
      </c>
      <c r="E29" s="666">
        <v>360299</v>
      </c>
      <c r="F29" s="667">
        <f t="shared" si="0"/>
        <v>91.96</v>
      </c>
      <c r="G29" s="666">
        <v>31471</v>
      </c>
      <c r="H29" s="667">
        <f t="shared" si="1"/>
        <v>8.0299999999999994</v>
      </c>
      <c r="I29" s="666">
        <v>21</v>
      </c>
      <c r="J29" s="667">
        <f>ROUND(I29/$S29*100,2)</f>
        <v>0.01</v>
      </c>
      <c r="K29" s="668" t="s">
        <v>1384</v>
      </c>
      <c r="L29" s="667" t="str">
        <f>IF(K29="-","-",ROUND(K29/$S29*100,2))</f>
        <v>-</v>
      </c>
      <c r="M29" s="668" t="s">
        <v>1384</v>
      </c>
      <c r="N29" s="667" t="str">
        <f>IF(M29="-","-",ROUND(M29/$S29*100,2))</f>
        <v>-</v>
      </c>
      <c r="O29" s="668" t="s">
        <v>1384</v>
      </c>
      <c r="P29" s="667" t="str">
        <f>IF(O29="-","-",ROUND(O29/$S29*100,2))</f>
        <v>-</v>
      </c>
      <c r="Q29" s="666">
        <v>8</v>
      </c>
      <c r="R29" s="667">
        <f>ROUND(Q29/$S29*100,5)</f>
        <v>2.0400000000000001E-3</v>
      </c>
      <c r="S29" s="669">
        <f t="shared" si="2"/>
        <v>391799</v>
      </c>
      <c r="T29" s="670">
        <f t="shared" si="3"/>
        <v>100.00203999999999</v>
      </c>
    </row>
    <row r="30" spans="1:25">
      <c r="A30" s="589"/>
      <c r="B30" s="729" t="s">
        <v>1475</v>
      </c>
      <c r="C30" s="12"/>
      <c r="D30" s="12"/>
      <c r="E30" s="12"/>
      <c r="F30" s="12"/>
      <c r="G30" s="12"/>
      <c r="H30" s="12"/>
      <c r="I30" s="12"/>
      <c r="J30" s="12"/>
      <c r="K30" s="12"/>
      <c r="L30" s="12"/>
      <c r="M30" s="12"/>
      <c r="N30" s="319"/>
      <c r="O30" s="338"/>
      <c r="P30" s="338"/>
      <c r="T30" s="331" t="s">
        <v>431</v>
      </c>
    </row>
    <row r="31" spans="1:25">
      <c r="A31" s="589"/>
      <c r="K31" s="774"/>
    </row>
    <row r="32" spans="1:25">
      <c r="A32" s="589"/>
      <c r="Q32" s="25"/>
    </row>
    <row r="33" spans="1:7">
      <c r="A33" s="589"/>
    </row>
    <row r="48" spans="1:7">
      <c r="G48" s="6"/>
    </row>
  </sheetData>
  <mergeCells count="37">
    <mergeCell ref="B28:B29"/>
    <mergeCell ref="C28:C29"/>
    <mergeCell ref="B22:B23"/>
    <mergeCell ref="C18:C19"/>
    <mergeCell ref="C20:C21"/>
    <mergeCell ref="C22:C23"/>
    <mergeCell ref="C26:C27"/>
    <mergeCell ref="C24:C25"/>
    <mergeCell ref="B24:B25"/>
    <mergeCell ref="B26:B27"/>
    <mergeCell ref="B20:B21"/>
    <mergeCell ref="B18:B19"/>
    <mergeCell ref="C6:C7"/>
    <mergeCell ref="C8:C9"/>
    <mergeCell ref="C16:C17"/>
    <mergeCell ref="C14:C15"/>
    <mergeCell ref="B6:B7"/>
    <mergeCell ref="B12:B13"/>
    <mergeCell ref="B8:B9"/>
    <mergeCell ref="B10:B11"/>
    <mergeCell ref="B16:B17"/>
    <mergeCell ref="C3:C4"/>
    <mergeCell ref="C12:C13"/>
    <mergeCell ref="C10:C11"/>
    <mergeCell ref="B1:T1"/>
    <mergeCell ref="B14:B15"/>
    <mergeCell ref="I3:J3"/>
    <mergeCell ref="K3:L3"/>
    <mergeCell ref="M3:N3"/>
    <mergeCell ref="E3:F3"/>
    <mergeCell ref="G3:H3"/>
    <mergeCell ref="D3:D4"/>
    <mergeCell ref="B2:T2"/>
    <mergeCell ref="B3:B4"/>
    <mergeCell ref="O3:P3"/>
    <mergeCell ref="Q3:R3"/>
    <mergeCell ref="S3:T3"/>
  </mergeCells>
  <phoneticPr fontId="0" type="noConversion"/>
  <printOptions horizontalCentered="1" verticalCentered="1"/>
  <pageMargins left="0.1" right="0.1" top="0.1" bottom="0.1" header="0.57999999999999996" footer="0.1"/>
  <pageSetup paperSize="9" orientation="landscape" blackAndWhite="1" horizontalDpi="4294967295" verticalDpi="144" r:id="rId1"/>
  <headerFooter alignWithMargins="0"/>
  <drawing r:id="rId2"/>
</worksheet>
</file>

<file path=xl/worksheets/sheet83.xml><?xml version="1.0" encoding="utf-8"?>
<worksheet xmlns="http://schemas.openxmlformats.org/spreadsheetml/2006/main" xmlns:r="http://schemas.openxmlformats.org/officeDocument/2006/relationships">
  <dimension ref="A1:K43"/>
  <sheetViews>
    <sheetView workbookViewId="0">
      <selection activeCell="K35" sqref="K35"/>
    </sheetView>
  </sheetViews>
  <sheetFormatPr defaultRowHeight="12.75"/>
  <cols>
    <col min="1" max="1" width="4.42578125" customWidth="1"/>
    <col min="2" max="2" width="18.28515625" customWidth="1"/>
    <col min="3" max="3" width="11.5703125" customWidth="1"/>
    <col min="4" max="4" width="11.85546875" customWidth="1"/>
    <col min="5" max="5" width="11.7109375" customWidth="1"/>
    <col min="6" max="6" width="13" customWidth="1"/>
    <col min="7" max="7" width="17.7109375" customWidth="1"/>
    <col min="10" max="10" width="22.85546875" customWidth="1"/>
  </cols>
  <sheetData>
    <row r="1" spans="1:11" ht="23.25" customHeight="1">
      <c r="A1" s="1825" t="s">
        <v>558</v>
      </c>
      <c r="B1" s="1825"/>
      <c r="C1" s="1825"/>
      <c r="D1" s="1825"/>
      <c r="E1" s="1825"/>
      <c r="F1" s="1825"/>
      <c r="G1" s="1825"/>
    </row>
    <row r="2" spans="1:11" ht="33.75" customHeight="1">
      <c r="A2" s="2338" t="str">
        <f>CONCATENATE("Persons Engaged in Agriculture in the Blocks
 of ", District!$A$1, " for the year ",District!B3)</f>
        <v>Persons Engaged in Agriculture in the Blocks
 of Purba Medinipur for the year 2013-14</v>
      </c>
      <c r="B2" s="2338"/>
      <c r="C2" s="2338"/>
      <c r="D2" s="2338"/>
      <c r="E2" s="2338"/>
      <c r="F2" s="2338"/>
      <c r="G2" s="2338"/>
    </row>
    <row r="3" spans="1:11" ht="15.95" customHeight="1">
      <c r="B3" s="4"/>
      <c r="C3" s="4"/>
      <c r="D3" s="4"/>
      <c r="E3" s="4"/>
      <c r="F3" s="4"/>
      <c r="G3" s="194" t="s">
        <v>368</v>
      </c>
    </row>
    <row r="4" spans="1:11" ht="15.95" customHeight="1">
      <c r="A4" s="405" t="s">
        <v>369</v>
      </c>
      <c r="B4" s="1833" t="s">
        <v>27</v>
      </c>
      <c r="C4" s="1831" t="s">
        <v>370</v>
      </c>
      <c r="D4" s="1833" t="s">
        <v>1663</v>
      </c>
      <c r="E4" s="1833" t="s">
        <v>1664</v>
      </c>
      <c r="F4" s="1833" t="s">
        <v>1665</v>
      </c>
      <c r="G4" s="1833" t="s">
        <v>652</v>
      </c>
    </row>
    <row r="5" spans="1:11" ht="15.95" customHeight="1">
      <c r="A5" s="199" t="s">
        <v>1030</v>
      </c>
      <c r="B5" s="1832"/>
      <c r="C5" s="1832"/>
      <c r="D5" s="2420"/>
      <c r="E5" s="2420"/>
      <c r="F5" s="2420"/>
      <c r="G5" s="2420"/>
    </row>
    <row r="6" spans="1:11" ht="15.95" customHeight="1">
      <c r="A6" s="137" t="s">
        <v>955</v>
      </c>
      <c r="B6" s="134" t="s">
        <v>956</v>
      </c>
      <c r="C6" s="135" t="s">
        <v>957</v>
      </c>
      <c r="D6" s="134" t="s">
        <v>958</v>
      </c>
      <c r="E6" s="135" t="s">
        <v>959</v>
      </c>
      <c r="F6" s="134" t="s">
        <v>961</v>
      </c>
      <c r="G6" s="134" t="s">
        <v>962</v>
      </c>
      <c r="H6" s="100"/>
      <c r="I6" s="100"/>
      <c r="J6" s="100"/>
      <c r="K6" s="411"/>
    </row>
    <row r="7" spans="1:11" ht="22.5" customHeight="1">
      <c r="A7" s="848">
        <v>1</v>
      </c>
      <c r="B7" s="278" t="s">
        <v>200</v>
      </c>
      <c r="C7" s="115">
        <v>2899</v>
      </c>
      <c r="D7" s="110">
        <v>1494</v>
      </c>
      <c r="E7" s="115">
        <v>577</v>
      </c>
      <c r="F7" s="110">
        <v>19215</v>
      </c>
      <c r="G7" s="110">
        <f>VLOOKUP(B7,'2.7'!$A$8:$R$51,6,FALSE)</f>
        <v>31401</v>
      </c>
      <c r="H7" s="7"/>
      <c r="I7" s="7"/>
      <c r="J7" s="7"/>
      <c r="K7" s="7"/>
    </row>
    <row r="8" spans="1:11" ht="22.5" customHeight="1">
      <c r="A8" s="788">
        <v>2</v>
      </c>
      <c r="B8" s="278" t="s">
        <v>1386</v>
      </c>
      <c r="C8" s="115">
        <v>665</v>
      </c>
      <c r="D8" s="110">
        <v>2488</v>
      </c>
      <c r="E8" s="115">
        <v>808</v>
      </c>
      <c r="F8" s="110">
        <v>13236</v>
      </c>
      <c r="G8" s="110">
        <f>VLOOKUP(B8,'2.7'!$A$8:$R$51,6,FALSE)</f>
        <v>18565</v>
      </c>
      <c r="H8" s="8"/>
      <c r="I8" s="8"/>
      <c r="J8" s="8"/>
      <c r="K8" s="7"/>
    </row>
    <row r="9" spans="1:11" ht="22.5" customHeight="1">
      <c r="A9" s="788">
        <v>3</v>
      </c>
      <c r="B9" s="278" t="s">
        <v>1388</v>
      </c>
      <c r="C9" s="115">
        <v>4044</v>
      </c>
      <c r="D9" s="110">
        <v>7020</v>
      </c>
      <c r="E9" s="115">
        <v>2325</v>
      </c>
      <c r="F9" s="110">
        <v>33839</v>
      </c>
      <c r="G9" s="110">
        <f>VLOOKUP(B9,'2.7'!$A$8:$R$51,6,FALSE)</f>
        <v>46520</v>
      </c>
      <c r="H9" s="8"/>
      <c r="I9" s="8"/>
      <c r="J9" s="8"/>
      <c r="K9" s="7"/>
    </row>
    <row r="10" spans="1:11" ht="22.5" customHeight="1">
      <c r="A10" s="788">
        <v>4</v>
      </c>
      <c r="B10" s="278" t="s">
        <v>1385</v>
      </c>
      <c r="C10" s="115">
        <v>1222</v>
      </c>
      <c r="D10" s="110">
        <v>1370</v>
      </c>
      <c r="E10" s="115">
        <v>1112</v>
      </c>
      <c r="F10" s="110">
        <v>19737</v>
      </c>
      <c r="G10" s="110">
        <f>VLOOKUP(B10,'2.7'!$A$8:$R$51,6,FALSE)</f>
        <v>21973</v>
      </c>
      <c r="H10" s="19"/>
      <c r="I10" s="19"/>
      <c r="J10" s="19"/>
      <c r="K10" s="7"/>
    </row>
    <row r="11" spans="1:11" ht="22.5" customHeight="1">
      <c r="A11" s="788">
        <v>5</v>
      </c>
      <c r="B11" s="278" t="s">
        <v>1390</v>
      </c>
      <c r="C11" s="115">
        <v>3970</v>
      </c>
      <c r="D11" s="110">
        <v>3152</v>
      </c>
      <c r="E11" s="115">
        <v>1055</v>
      </c>
      <c r="F11" s="110">
        <v>32656</v>
      </c>
      <c r="G11" s="110">
        <f>VLOOKUP(B11,'2.7'!$A$8:$R$51,6,FALSE)</f>
        <v>41363</v>
      </c>
      <c r="H11" s="8"/>
      <c r="I11" s="8"/>
      <c r="J11" s="8"/>
      <c r="K11" s="7"/>
    </row>
    <row r="12" spans="1:11" ht="22.5" customHeight="1">
      <c r="A12" s="788">
        <v>6</v>
      </c>
      <c r="B12" s="278" t="s">
        <v>1391</v>
      </c>
      <c r="C12" s="115">
        <v>3624</v>
      </c>
      <c r="D12" s="110">
        <v>4755</v>
      </c>
      <c r="E12" s="115">
        <v>1166</v>
      </c>
      <c r="F12" s="110">
        <v>23384</v>
      </c>
      <c r="G12" s="110">
        <f>VLOOKUP(B12,'2.7'!$A$8:$R$51,6,FALSE)</f>
        <v>35377</v>
      </c>
      <c r="H12" s="8"/>
      <c r="I12" s="8"/>
      <c r="J12" s="8"/>
      <c r="K12" s="7"/>
    </row>
    <row r="13" spans="1:11" ht="22.5" customHeight="1">
      <c r="A13" s="788">
        <v>7</v>
      </c>
      <c r="B13" s="598" t="s">
        <v>1392</v>
      </c>
      <c r="C13" s="115">
        <v>8569</v>
      </c>
      <c r="D13" s="110">
        <v>7821</v>
      </c>
      <c r="E13" s="115">
        <v>1474</v>
      </c>
      <c r="F13" s="110">
        <v>19190</v>
      </c>
      <c r="G13" s="110">
        <f>VLOOKUP(B13,'2.7'!$A$8:$R$51,6,FALSE)</f>
        <v>27771</v>
      </c>
      <c r="H13" s="8"/>
      <c r="I13" s="8"/>
      <c r="J13" s="8"/>
      <c r="K13" s="7"/>
    </row>
    <row r="14" spans="1:11" ht="22.5" customHeight="1">
      <c r="A14" s="788">
        <v>8</v>
      </c>
      <c r="B14" s="278" t="s">
        <v>1393</v>
      </c>
      <c r="C14" s="115">
        <v>4060</v>
      </c>
      <c r="D14" s="110">
        <v>7696</v>
      </c>
      <c r="E14" s="115">
        <v>1483</v>
      </c>
      <c r="F14" s="110">
        <v>19820</v>
      </c>
      <c r="G14" s="110">
        <f>VLOOKUP(B14,'2.7'!$A$8:$R$51,6,FALSE)</f>
        <v>25674</v>
      </c>
      <c r="H14" s="8"/>
      <c r="I14" s="8"/>
      <c r="J14" s="8"/>
      <c r="K14" s="7"/>
    </row>
    <row r="15" spans="1:11" ht="22.5" customHeight="1">
      <c r="A15" s="788">
        <v>9</v>
      </c>
      <c r="B15" s="278" t="s">
        <v>1395</v>
      </c>
      <c r="C15" s="115">
        <v>11981</v>
      </c>
      <c r="D15" s="110">
        <v>18559</v>
      </c>
      <c r="E15" s="115">
        <v>1439</v>
      </c>
      <c r="F15" s="110">
        <v>25428</v>
      </c>
      <c r="G15" s="110">
        <f>VLOOKUP(B15,'2.7'!$A$8:$R$51,6,FALSE)</f>
        <v>29072</v>
      </c>
      <c r="H15" s="8"/>
      <c r="I15" s="8"/>
      <c r="J15" s="8"/>
      <c r="K15" s="7"/>
    </row>
    <row r="16" spans="1:11" ht="22.5" customHeight="1">
      <c r="A16" s="788">
        <v>10</v>
      </c>
      <c r="B16" s="278" t="s">
        <v>1396</v>
      </c>
      <c r="C16" s="115">
        <v>8271</v>
      </c>
      <c r="D16" s="110">
        <v>6290</v>
      </c>
      <c r="E16" s="115">
        <v>1528</v>
      </c>
      <c r="F16" s="110">
        <v>18741</v>
      </c>
      <c r="G16" s="110">
        <f>VLOOKUP(B16,'2.7'!$A$8:$R$51,6,FALSE)</f>
        <v>21641</v>
      </c>
      <c r="H16" s="8"/>
      <c r="I16" s="8"/>
      <c r="J16" s="8"/>
      <c r="K16" s="7"/>
    </row>
    <row r="17" spans="1:11" ht="22.5" customHeight="1">
      <c r="A17" s="788">
        <v>11</v>
      </c>
      <c r="B17" s="278" t="s">
        <v>1397</v>
      </c>
      <c r="C17" s="115">
        <v>3245</v>
      </c>
      <c r="D17" s="110">
        <v>3301</v>
      </c>
      <c r="E17" s="115">
        <v>1415</v>
      </c>
      <c r="F17" s="110">
        <v>10165</v>
      </c>
      <c r="G17" s="110">
        <f>VLOOKUP(B17,'2.7'!$A$8:$R$51,6,FALSE)</f>
        <v>16364</v>
      </c>
      <c r="H17" s="8"/>
      <c r="I17" s="8"/>
      <c r="J17" s="8"/>
      <c r="K17" s="7"/>
    </row>
    <row r="18" spans="1:11" ht="22.5" customHeight="1">
      <c r="A18" s="788">
        <v>12</v>
      </c>
      <c r="B18" s="278" t="s">
        <v>1399</v>
      </c>
      <c r="C18" s="115">
        <v>4209</v>
      </c>
      <c r="D18" s="110">
        <v>5162</v>
      </c>
      <c r="E18" s="115">
        <v>412</v>
      </c>
      <c r="F18" s="110">
        <v>8763</v>
      </c>
      <c r="G18" s="110">
        <f>VLOOKUP(B18,'2.7'!$A$8:$R$51,6,FALSE)</f>
        <v>13076</v>
      </c>
      <c r="H18" s="8"/>
      <c r="I18" s="8"/>
      <c r="J18" s="8"/>
      <c r="K18" s="7"/>
    </row>
    <row r="19" spans="1:11" ht="22.5" customHeight="1">
      <c r="A19" s="788">
        <v>13</v>
      </c>
      <c r="B19" s="278" t="s">
        <v>1269</v>
      </c>
      <c r="C19" s="115">
        <v>4843</v>
      </c>
      <c r="D19" s="110">
        <v>8014</v>
      </c>
      <c r="E19" s="115">
        <v>1315</v>
      </c>
      <c r="F19" s="110">
        <v>23374</v>
      </c>
      <c r="G19" s="110">
        <f>VLOOKUP(B19,'2.7'!$A$8:$R$51,6,FALSE)</f>
        <v>31802</v>
      </c>
      <c r="H19" s="8"/>
      <c r="I19" s="8"/>
      <c r="J19" s="8"/>
      <c r="K19" s="7"/>
    </row>
    <row r="20" spans="1:11" ht="22.5" customHeight="1">
      <c r="A20" s="788">
        <v>14</v>
      </c>
      <c r="B20" s="278" t="s">
        <v>1270</v>
      </c>
      <c r="C20" s="115">
        <v>6087</v>
      </c>
      <c r="D20" s="110">
        <v>10245</v>
      </c>
      <c r="E20" s="115">
        <v>1864</v>
      </c>
      <c r="F20" s="110">
        <v>25758</v>
      </c>
      <c r="G20" s="110">
        <f>VLOOKUP(B20,'2.7'!$A$8:$R$51,6,FALSE)</f>
        <v>29750</v>
      </c>
      <c r="H20" s="8"/>
      <c r="I20" s="8"/>
      <c r="J20" s="8"/>
      <c r="K20" s="7"/>
    </row>
    <row r="21" spans="1:11" ht="22.5" customHeight="1">
      <c r="A21" s="788">
        <v>15</v>
      </c>
      <c r="B21" s="598" t="s">
        <v>1412</v>
      </c>
      <c r="C21" s="115">
        <v>10853</v>
      </c>
      <c r="D21" s="110">
        <v>10535</v>
      </c>
      <c r="E21" s="115">
        <v>1655</v>
      </c>
      <c r="F21" s="110">
        <v>33744</v>
      </c>
      <c r="G21" s="110">
        <f>VLOOKUP(B21,'2.7'!$A$8:$R$51,6,FALSE)</f>
        <v>44280</v>
      </c>
      <c r="H21" s="8"/>
      <c r="I21" s="8"/>
      <c r="J21" s="8"/>
      <c r="K21" s="7"/>
    </row>
    <row r="22" spans="1:11" ht="22.5" customHeight="1">
      <c r="A22" s="788">
        <v>16</v>
      </c>
      <c r="B22" s="598" t="s">
        <v>1413</v>
      </c>
      <c r="C22" s="115">
        <v>4408</v>
      </c>
      <c r="D22" s="441">
        <v>11424</v>
      </c>
      <c r="E22" s="115">
        <v>1995</v>
      </c>
      <c r="F22" s="110">
        <v>27360</v>
      </c>
      <c r="G22" s="110">
        <f>VLOOKUP(B22,'2.7'!$A$8:$R$51,6,FALSE)</f>
        <v>31586</v>
      </c>
      <c r="H22" s="8"/>
      <c r="I22" s="8"/>
      <c r="J22" s="8"/>
      <c r="K22" s="7"/>
    </row>
    <row r="23" spans="1:11" ht="22.5" customHeight="1">
      <c r="A23" s="788">
        <v>17</v>
      </c>
      <c r="B23" s="598" t="s">
        <v>1414</v>
      </c>
      <c r="C23" s="115">
        <v>5035</v>
      </c>
      <c r="D23" s="110">
        <v>12173</v>
      </c>
      <c r="E23" s="115">
        <v>1770</v>
      </c>
      <c r="F23" s="110">
        <v>23448</v>
      </c>
      <c r="G23" s="110">
        <f>VLOOKUP(B23,'2.7'!$A$8:$R$51,6,FALSE)</f>
        <v>31824</v>
      </c>
      <c r="H23" s="8"/>
      <c r="I23" s="8"/>
      <c r="J23" s="8"/>
      <c r="K23" s="7"/>
    </row>
    <row r="24" spans="1:11" ht="22.5" customHeight="1">
      <c r="A24" s="788">
        <v>18</v>
      </c>
      <c r="B24" s="598" t="s">
        <v>1419</v>
      </c>
      <c r="C24" s="115">
        <v>14591</v>
      </c>
      <c r="D24" s="110">
        <v>19684</v>
      </c>
      <c r="E24" s="115">
        <v>1270</v>
      </c>
      <c r="F24" s="110">
        <v>19452</v>
      </c>
      <c r="G24" s="110">
        <f>VLOOKUP(B24,'2.7'!$A$8:$R$51,6,FALSE)</f>
        <v>23783</v>
      </c>
      <c r="H24" s="8"/>
      <c r="I24" s="8"/>
      <c r="J24" s="8"/>
      <c r="K24" s="7"/>
    </row>
    <row r="25" spans="1:11" ht="22.5" customHeight="1">
      <c r="A25" s="788">
        <v>19</v>
      </c>
      <c r="B25" s="598" t="s">
        <v>1420</v>
      </c>
      <c r="C25" s="115">
        <v>8863</v>
      </c>
      <c r="D25" s="110">
        <v>6607</v>
      </c>
      <c r="E25" s="115">
        <v>1270</v>
      </c>
      <c r="F25" s="110">
        <v>26290</v>
      </c>
      <c r="G25" s="110">
        <f>VLOOKUP(B25,'2.7'!$A$8:$R$51,6,FALSE)</f>
        <v>17854</v>
      </c>
      <c r="H25" s="8"/>
      <c r="I25" s="8"/>
      <c r="J25" s="8"/>
      <c r="K25" s="7"/>
    </row>
    <row r="26" spans="1:11" ht="22.5" customHeight="1">
      <c r="A26" s="788">
        <v>20</v>
      </c>
      <c r="B26" s="598" t="s">
        <v>1422</v>
      </c>
      <c r="C26" s="115">
        <v>10983</v>
      </c>
      <c r="D26" s="110">
        <v>16411</v>
      </c>
      <c r="E26" s="115">
        <v>1013</v>
      </c>
      <c r="F26" s="110">
        <v>21949</v>
      </c>
      <c r="G26" s="110">
        <f>VLOOKUP(B26,'2.7'!$A$8:$R$51,6,FALSE)</f>
        <v>36595</v>
      </c>
      <c r="H26" s="8"/>
      <c r="I26" s="8"/>
      <c r="J26" s="8"/>
      <c r="K26" s="7"/>
    </row>
    <row r="27" spans="1:11" ht="22.5" customHeight="1">
      <c r="A27" s="788">
        <v>21</v>
      </c>
      <c r="B27" s="598" t="s">
        <v>1423</v>
      </c>
      <c r="C27" s="115">
        <v>2187</v>
      </c>
      <c r="D27" s="110">
        <v>5689</v>
      </c>
      <c r="E27" s="115">
        <v>1509</v>
      </c>
      <c r="F27" s="110">
        <v>17232</v>
      </c>
      <c r="G27" s="110">
        <f>VLOOKUP(B27,'2.7'!$A$8:$R$51,6,FALSE)</f>
        <v>19699</v>
      </c>
      <c r="H27" s="8"/>
      <c r="I27" s="8"/>
      <c r="J27" s="8"/>
      <c r="K27" s="7"/>
    </row>
    <row r="28" spans="1:11" ht="22.5" customHeight="1">
      <c r="A28" s="788">
        <v>22</v>
      </c>
      <c r="B28" s="598" t="s">
        <v>1425</v>
      </c>
      <c r="C28" s="115">
        <v>3331</v>
      </c>
      <c r="D28" s="110">
        <v>6585</v>
      </c>
      <c r="E28" s="115">
        <v>1654</v>
      </c>
      <c r="F28" s="110">
        <v>20251</v>
      </c>
      <c r="G28" s="110">
        <f>VLOOKUP(B28,'2.7'!$A$8:$R$51,6,FALSE)</f>
        <v>25788</v>
      </c>
      <c r="H28" s="8"/>
      <c r="I28" s="8"/>
      <c r="J28" s="8"/>
      <c r="K28" s="7"/>
    </row>
    <row r="29" spans="1:11" ht="22.5" customHeight="1">
      <c r="A29" s="788">
        <v>23</v>
      </c>
      <c r="B29" s="598" t="s">
        <v>1426</v>
      </c>
      <c r="C29" s="115">
        <v>6035</v>
      </c>
      <c r="D29" s="110">
        <v>9239</v>
      </c>
      <c r="E29" s="115">
        <v>1513</v>
      </c>
      <c r="F29" s="110">
        <v>28757</v>
      </c>
      <c r="G29" s="110">
        <f>VLOOKUP(B29,'2.7'!$A$8:$R$51,6,FALSE)</f>
        <v>23192</v>
      </c>
      <c r="H29" s="8"/>
      <c r="I29" s="8"/>
      <c r="J29" s="8"/>
      <c r="K29" s="7"/>
    </row>
    <row r="30" spans="1:11" ht="22.5" customHeight="1">
      <c r="A30" s="788">
        <v>24</v>
      </c>
      <c r="B30" s="598" t="s">
        <v>263</v>
      </c>
      <c r="C30" s="115">
        <v>4904</v>
      </c>
      <c r="D30" s="110">
        <v>23593</v>
      </c>
      <c r="E30" s="115">
        <v>1764</v>
      </c>
      <c r="F30" s="110">
        <v>19234</v>
      </c>
      <c r="G30" s="110">
        <f>VLOOKUP(B30,'2.7'!$A$8:$R$51,6,FALSE)</f>
        <v>24393</v>
      </c>
      <c r="H30" s="8"/>
      <c r="I30" s="8"/>
      <c r="J30" s="8"/>
      <c r="K30" s="7"/>
    </row>
    <row r="31" spans="1:11" ht="22.5" customHeight="1">
      <c r="A31" s="789">
        <v>25</v>
      </c>
      <c r="B31" s="941" t="s">
        <v>1429</v>
      </c>
      <c r="C31" s="28">
        <v>4757</v>
      </c>
      <c r="D31" s="110">
        <v>18049</v>
      </c>
      <c r="E31" s="28">
        <v>1763</v>
      </c>
      <c r="F31" s="111">
        <v>19485</v>
      </c>
      <c r="G31" s="111">
        <f>VLOOKUP(B31,'2.7'!$A$8:$R$51,6,FALSE)</f>
        <v>22112</v>
      </c>
      <c r="H31" s="8"/>
      <c r="I31" s="8"/>
      <c r="J31" s="8"/>
      <c r="K31" s="7"/>
    </row>
    <row r="32" spans="1:11">
      <c r="A32" s="2419" t="s">
        <v>1079</v>
      </c>
      <c r="B32" s="2419"/>
      <c r="C32" s="2419"/>
      <c r="D32" s="2419"/>
      <c r="E32" s="1063" t="s">
        <v>430</v>
      </c>
      <c r="F32" s="1102" t="s">
        <v>1555</v>
      </c>
      <c r="G32" s="1096"/>
      <c r="H32" s="8"/>
      <c r="I32" s="8"/>
      <c r="J32" s="8"/>
      <c r="K32" s="7"/>
    </row>
    <row r="33" spans="1:11">
      <c r="A33" s="2240"/>
      <c r="B33" s="2240"/>
      <c r="C33" s="2240"/>
      <c r="D33" s="2240"/>
      <c r="E33" s="1041"/>
      <c r="F33" s="1096" t="s">
        <v>1556</v>
      </c>
      <c r="G33" s="1096"/>
      <c r="H33" s="8"/>
      <c r="I33" s="8"/>
      <c r="J33" s="8"/>
      <c r="K33" s="7"/>
    </row>
    <row r="34" spans="1:11">
      <c r="A34" s="1242"/>
      <c r="B34" s="2240" t="s">
        <v>429</v>
      </c>
      <c r="C34" s="2240"/>
      <c r="D34" s="2240"/>
      <c r="E34" s="1041"/>
      <c r="F34" s="1096" t="s">
        <v>653</v>
      </c>
      <c r="G34" s="1096"/>
      <c r="H34" s="8"/>
      <c r="I34" s="8"/>
      <c r="J34" s="8"/>
      <c r="K34" s="7"/>
    </row>
    <row r="35" spans="1:11">
      <c r="A35" s="1243"/>
      <c r="B35" s="2240"/>
      <c r="C35" s="2240"/>
      <c r="D35" s="2240"/>
      <c r="E35" s="48"/>
      <c r="F35" s="1102" t="s">
        <v>1078</v>
      </c>
      <c r="G35" s="48"/>
      <c r="H35" s="8"/>
      <c r="I35" s="8"/>
      <c r="J35" s="8"/>
      <c r="K35" s="7"/>
    </row>
    <row r="36" spans="1:11">
      <c r="A36" s="1242"/>
      <c r="B36" s="2240"/>
      <c r="C36" s="2240"/>
      <c r="D36" s="2240"/>
      <c r="E36" s="48"/>
      <c r="F36" s="48"/>
      <c r="G36" s="48"/>
      <c r="H36" s="8"/>
      <c r="I36" s="8"/>
      <c r="J36" s="8"/>
      <c r="K36" s="7"/>
    </row>
    <row r="37" spans="1:11">
      <c r="A37" s="1241" t="s">
        <v>109</v>
      </c>
      <c r="B37" s="1041"/>
      <c r="C37" s="1041"/>
      <c r="D37" s="1041"/>
      <c r="E37" s="1041"/>
      <c r="F37" s="1041"/>
      <c r="G37" s="1041"/>
      <c r="H37" s="7"/>
      <c r="I37" s="7"/>
      <c r="J37" s="7"/>
      <c r="K37" s="7"/>
    </row>
    <row r="38" spans="1:11">
      <c r="H38" s="7"/>
      <c r="I38" s="7"/>
      <c r="J38" s="7"/>
      <c r="K38" s="7"/>
    </row>
    <row r="39" spans="1:11">
      <c r="H39" s="7"/>
      <c r="I39" s="7"/>
      <c r="J39" s="7"/>
      <c r="K39" s="7"/>
    </row>
    <row r="40" spans="1:11">
      <c r="H40" s="38"/>
      <c r="I40" s="7"/>
      <c r="J40" s="7"/>
      <c r="K40" s="7"/>
    </row>
    <row r="41" spans="1:11">
      <c r="H41" s="7"/>
      <c r="I41" s="7"/>
      <c r="J41" s="7"/>
      <c r="K41" s="7"/>
    </row>
    <row r="42" spans="1:11">
      <c r="H42" s="7"/>
      <c r="I42" s="7"/>
      <c r="J42" s="7"/>
      <c r="K42" s="7"/>
    </row>
    <row r="43" spans="1:11">
      <c r="H43" s="7"/>
      <c r="I43" s="7"/>
      <c r="J43" s="7"/>
      <c r="K43" s="7"/>
    </row>
  </sheetData>
  <mergeCells count="10">
    <mergeCell ref="B34:D36"/>
    <mergeCell ref="A2:G2"/>
    <mergeCell ref="A1:G1"/>
    <mergeCell ref="B4:B5"/>
    <mergeCell ref="A32:D33"/>
    <mergeCell ref="C4:C5"/>
    <mergeCell ref="D4:D5"/>
    <mergeCell ref="E4:E5"/>
    <mergeCell ref="F4:F5"/>
    <mergeCell ref="G4:G5"/>
  </mergeCells>
  <phoneticPr fontId="0" type="noConversion"/>
  <printOptions horizontalCentered="1"/>
  <pageMargins left="0.66" right="0.1" top="0.7" bottom="0.1" header="0.7" footer="0.1"/>
  <pageSetup paperSize="9" orientation="portrait" blackAndWhite="1" r:id="rId1"/>
  <headerFooter alignWithMargins="0"/>
</worksheet>
</file>

<file path=xl/worksheets/sheet84.xml><?xml version="1.0" encoding="utf-8"?>
<worksheet xmlns="http://schemas.openxmlformats.org/spreadsheetml/2006/main" xmlns:r="http://schemas.openxmlformats.org/officeDocument/2006/relationships">
  <dimension ref="A1:AV41"/>
  <sheetViews>
    <sheetView zoomScaleSheetLayoutView="100" workbookViewId="0">
      <selection activeCell="K35" sqref="K35"/>
    </sheetView>
  </sheetViews>
  <sheetFormatPr defaultRowHeight="12.75"/>
  <cols>
    <col min="1" max="1" width="4.140625" style="11" customWidth="1"/>
    <col min="2" max="2" width="15.85546875" style="11" customWidth="1"/>
    <col min="3" max="5" width="7.5703125" style="11" customWidth="1"/>
    <col min="6" max="6" width="8.28515625" style="11" customWidth="1"/>
    <col min="7" max="7" width="8.140625" style="11" customWidth="1"/>
    <col min="8" max="8" width="8.7109375" style="11" customWidth="1"/>
    <col min="9" max="9" width="8.5703125" style="11" customWidth="1"/>
    <col min="10" max="10" width="8.28515625" style="11" customWidth="1"/>
    <col min="11" max="11" width="9" style="11" customWidth="1"/>
    <col min="12" max="13" width="7.5703125" style="11" customWidth="1"/>
    <col min="14" max="14" width="9" style="11" customWidth="1"/>
    <col min="15" max="17" width="6.42578125" style="11" customWidth="1"/>
    <col min="18" max="18" width="4.140625" style="11" customWidth="1"/>
    <col min="19" max="19" width="15.85546875" style="11" customWidth="1"/>
    <col min="20" max="30" width="7.5703125" style="11" customWidth="1"/>
    <col min="31" max="31" width="7.28515625" style="11" customWidth="1"/>
    <col min="32" max="34" width="7.5703125" style="11" customWidth="1"/>
    <col min="35" max="35" width="4.140625" style="11" customWidth="1"/>
    <col min="36" max="36" width="16.7109375" style="11" customWidth="1"/>
    <col min="37" max="48" width="9.140625" style="11" customWidth="1"/>
    <col min="49" max="16384" width="9.140625" style="11"/>
  </cols>
  <sheetData>
    <row r="1" spans="1:48" ht="15" customHeight="1">
      <c r="A1" s="1888" t="s">
        <v>557</v>
      </c>
      <c r="B1" s="1888"/>
      <c r="C1" s="1888"/>
      <c r="D1" s="1888"/>
      <c r="E1" s="1888"/>
      <c r="F1" s="1888"/>
      <c r="G1" s="1888"/>
      <c r="H1" s="1888"/>
      <c r="I1" s="1888"/>
      <c r="J1" s="1888"/>
      <c r="K1" s="1888"/>
      <c r="L1" s="1888"/>
      <c r="M1" s="1888"/>
      <c r="N1" s="1888"/>
      <c r="O1" s="1888"/>
      <c r="P1" s="1888"/>
      <c r="Q1" s="1888"/>
      <c r="T1" s="557"/>
      <c r="U1" s="557"/>
      <c r="V1" s="557"/>
    </row>
    <row r="2" spans="1:48" s="1039" customFormat="1" ht="20.25" customHeight="1">
      <c r="A2" s="1887" t="str">
        <f>CONCATENATE("Area, Production and Yield rates of Major Crops in the Blocks of ", District!A1," for the year ",District!B3)</f>
        <v>Area, Production and Yield rates of Major Crops in the Blocks of Purba Medinipur for the year 2013-14</v>
      </c>
      <c r="B2" s="1887"/>
      <c r="C2" s="1887"/>
      <c r="D2" s="1887"/>
      <c r="E2" s="1887"/>
      <c r="F2" s="1887"/>
      <c r="G2" s="1887"/>
      <c r="H2" s="1887"/>
      <c r="I2" s="1887"/>
      <c r="J2" s="1887"/>
      <c r="K2" s="1887"/>
      <c r="L2" s="1887"/>
      <c r="M2" s="1887"/>
      <c r="N2" s="1887"/>
      <c r="O2" s="1887"/>
      <c r="P2" s="1887"/>
      <c r="Q2" s="1887"/>
      <c r="R2" s="2154" t="s">
        <v>1008</v>
      </c>
      <c r="S2" s="2154"/>
      <c r="T2" s="2154"/>
      <c r="U2" s="2154"/>
      <c r="V2" s="2154"/>
      <c r="W2" s="2154"/>
      <c r="X2" s="2154"/>
      <c r="Y2" s="2154"/>
      <c r="Z2" s="2154"/>
      <c r="AA2" s="2154"/>
      <c r="AB2" s="2154"/>
      <c r="AC2" s="2154"/>
      <c r="AD2" s="2154"/>
      <c r="AE2" s="2154"/>
      <c r="AF2" s="2154"/>
      <c r="AG2" s="2154"/>
      <c r="AH2" s="2154"/>
      <c r="AI2" s="1825" t="s">
        <v>1009</v>
      </c>
      <c r="AJ2" s="1825"/>
      <c r="AK2" s="1825"/>
      <c r="AL2" s="1825"/>
      <c r="AM2" s="1825"/>
      <c r="AN2" s="1825"/>
      <c r="AO2" s="1825"/>
      <c r="AP2" s="1825"/>
      <c r="AQ2" s="1825"/>
      <c r="AR2" s="1825"/>
      <c r="AS2" s="1825"/>
      <c r="AT2" s="1825"/>
      <c r="AU2" s="1825"/>
      <c r="AV2" s="1825"/>
    </row>
    <row r="3" spans="1:48" ht="13.5" customHeight="1">
      <c r="A3" s="1833" t="s">
        <v>399</v>
      </c>
      <c r="B3" s="1833" t="s">
        <v>32</v>
      </c>
      <c r="C3" s="1829" t="s">
        <v>1499</v>
      </c>
      <c r="D3" s="1827"/>
      <c r="E3" s="1828"/>
      <c r="F3" s="1829" t="s">
        <v>1500</v>
      </c>
      <c r="G3" s="1827"/>
      <c r="H3" s="1828"/>
      <c r="I3" s="1829" t="s">
        <v>1501</v>
      </c>
      <c r="J3" s="1827"/>
      <c r="K3" s="1828"/>
      <c r="L3" s="1829" t="s">
        <v>1502</v>
      </c>
      <c r="M3" s="1827"/>
      <c r="N3" s="1828"/>
      <c r="O3" s="1829" t="s">
        <v>546</v>
      </c>
      <c r="P3" s="1827"/>
      <c r="Q3" s="1828"/>
      <c r="R3" s="1833" t="s">
        <v>399</v>
      </c>
      <c r="S3" s="1833" t="s">
        <v>27</v>
      </c>
      <c r="T3" s="1829" t="s">
        <v>1516</v>
      </c>
      <c r="U3" s="1827"/>
      <c r="V3" s="1827"/>
      <c r="W3" s="1829" t="s">
        <v>290</v>
      </c>
      <c r="X3" s="1827"/>
      <c r="Y3" s="1828"/>
      <c r="Z3" s="1829" t="s">
        <v>400</v>
      </c>
      <c r="AA3" s="1827"/>
      <c r="AB3" s="1828"/>
      <c r="AC3" s="1829" t="s">
        <v>393</v>
      </c>
      <c r="AD3" s="1827"/>
      <c r="AE3" s="1828"/>
      <c r="AF3" s="1829" t="s">
        <v>999</v>
      </c>
      <c r="AG3" s="1827"/>
      <c r="AH3" s="1828"/>
      <c r="AI3" s="1833" t="s">
        <v>399</v>
      </c>
      <c r="AJ3" s="1833" t="s">
        <v>27</v>
      </c>
      <c r="AK3" s="1829" t="s">
        <v>401</v>
      </c>
      <c r="AL3" s="1827"/>
      <c r="AM3" s="1828"/>
      <c r="AN3" s="1829" t="s">
        <v>1583</v>
      </c>
      <c r="AO3" s="1827"/>
      <c r="AP3" s="1828"/>
      <c r="AQ3" s="1827" t="s">
        <v>1519</v>
      </c>
      <c r="AR3" s="1827"/>
      <c r="AS3" s="1828"/>
      <c r="AT3" s="1829" t="s">
        <v>1518</v>
      </c>
      <c r="AU3" s="1827"/>
      <c r="AV3" s="1828"/>
    </row>
    <row r="4" spans="1:48" ht="15.95" customHeight="1">
      <c r="A4" s="1834"/>
      <c r="B4" s="1832"/>
      <c r="C4" s="199" t="s">
        <v>909</v>
      </c>
      <c r="D4" s="156" t="s">
        <v>403</v>
      </c>
      <c r="E4" s="156" t="s">
        <v>404</v>
      </c>
      <c r="F4" s="199" t="s">
        <v>909</v>
      </c>
      <c r="G4" s="156" t="s">
        <v>403</v>
      </c>
      <c r="H4" s="198" t="s">
        <v>404</v>
      </c>
      <c r="I4" s="199" t="s">
        <v>909</v>
      </c>
      <c r="J4" s="156" t="s">
        <v>403</v>
      </c>
      <c r="K4" s="198" t="s">
        <v>404</v>
      </c>
      <c r="L4" s="164" t="s">
        <v>909</v>
      </c>
      <c r="M4" s="162" t="s">
        <v>403</v>
      </c>
      <c r="N4" s="163" t="s">
        <v>404</v>
      </c>
      <c r="O4" s="405" t="s">
        <v>909</v>
      </c>
      <c r="P4" s="429" t="s">
        <v>403</v>
      </c>
      <c r="Q4" s="831" t="s">
        <v>404</v>
      </c>
      <c r="R4" s="1834"/>
      <c r="S4" s="1832"/>
      <c r="T4" s="164" t="s">
        <v>909</v>
      </c>
      <c r="U4" s="162" t="s">
        <v>405</v>
      </c>
      <c r="V4" s="163" t="s">
        <v>406</v>
      </c>
      <c r="W4" s="164" t="s">
        <v>909</v>
      </c>
      <c r="X4" s="162" t="s">
        <v>403</v>
      </c>
      <c r="Y4" s="163" t="s">
        <v>404</v>
      </c>
      <c r="Z4" s="164" t="s">
        <v>909</v>
      </c>
      <c r="AA4" s="162" t="s">
        <v>403</v>
      </c>
      <c r="AB4" s="163" t="s">
        <v>404</v>
      </c>
      <c r="AC4" s="405" t="s">
        <v>909</v>
      </c>
      <c r="AD4" s="429" t="s">
        <v>403</v>
      </c>
      <c r="AE4" s="831" t="s">
        <v>404</v>
      </c>
      <c r="AF4" s="412" t="s">
        <v>909</v>
      </c>
      <c r="AG4" s="413" t="s">
        <v>403</v>
      </c>
      <c r="AH4" s="403" t="s">
        <v>404</v>
      </c>
      <c r="AI4" s="1834"/>
      <c r="AJ4" s="1832"/>
      <c r="AK4" s="412" t="s">
        <v>909</v>
      </c>
      <c r="AL4" s="413" t="s">
        <v>403</v>
      </c>
      <c r="AM4" s="403" t="s">
        <v>404</v>
      </c>
      <c r="AN4" s="412" t="s">
        <v>909</v>
      </c>
      <c r="AO4" s="413" t="s">
        <v>403</v>
      </c>
      <c r="AP4" s="403" t="s">
        <v>404</v>
      </c>
      <c r="AQ4" s="156" t="s">
        <v>909</v>
      </c>
      <c r="AR4" s="156" t="s">
        <v>403</v>
      </c>
      <c r="AS4" s="198" t="s">
        <v>404</v>
      </c>
      <c r="AT4" s="412" t="s">
        <v>909</v>
      </c>
      <c r="AU4" s="413" t="s">
        <v>403</v>
      </c>
      <c r="AV4" s="403" t="s">
        <v>404</v>
      </c>
    </row>
    <row r="5" spans="1:48" ht="15" customHeight="1">
      <c r="A5" s="134" t="s">
        <v>955</v>
      </c>
      <c r="B5" s="136" t="s">
        <v>956</v>
      </c>
      <c r="C5" s="137" t="s">
        <v>957</v>
      </c>
      <c r="D5" s="135" t="s">
        <v>958</v>
      </c>
      <c r="E5" s="135" t="s">
        <v>959</v>
      </c>
      <c r="F5" s="137" t="s">
        <v>961</v>
      </c>
      <c r="G5" s="135" t="s">
        <v>962</v>
      </c>
      <c r="H5" s="136" t="s">
        <v>990</v>
      </c>
      <c r="I5" s="137" t="s">
        <v>991</v>
      </c>
      <c r="J5" s="135" t="s">
        <v>992</v>
      </c>
      <c r="K5" s="136" t="s">
        <v>993</v>
      </c>
      <c r="L5" s="137" t="s">
        <v>1046</v>
      </c>
      <c r="M5" s="135" t="s">
        <v>1048</v>
      </c>
      <c r="N5" s="135" t="s">
        <v>1049</v>
      </c>
      <c r="O5" s="137" t="s">
        <v>1050</v>
      </c>
      <c r="P5" s="135" t="s">
        <v>1051</v>
      </c>
      <c r="Q5" s="136" t="s">
        <v>1052</v>
      </c>
      <c r="R5" s="134" t="s">
        <v>955</v>
      </c>
      <c r="S5" s="136" t="s">
        <v>956</v>
      </c>
      <c r="T5" s="137" t="s">
        <v>1054</v>
      </c>
      <c r="U5" s="135" t="s">
        <v>1053</v>
      </c>
      <c r="V5" s="136" t="s">
        <v>1431</v>
      </c>
      <c r="W5" s="137" t="s">
        <v>1432</v>
      </c>
      <c r="X5" s="135" t="s">
        <v>1433</v>
      </c>
      <c r="Y5" s="136" t="s">
        <v>340</v>
      </c>
      <c r="Z5" s="137" t="s">
        <v>341</v>
      </c>
      <c r="AA5" s="135" t="s">
        <v>342</v>
      </c>
      <c r="AB5" s="135" t="s">
        <v>343</v>
      </c>
      <c r="AC5" s="137" t="s">
        <v>344</v>
      </c>
      <c r="AD5" s="135" t="s">
        <v>345</v>
      </c>
      <c r="AE5" s="135" t="s">
        <v>346</v>
      </c>
      <c r="AF5" s="137" t="s">
        <v>347</v>
      </c>
      <c r="AG5" s="135" t="s">
        <v>349</v>
      </c>
      <c r="AH5" s="136" t="s">
        <v>350</v>
      </c>
      <c r="AI5" s="134" t="s">
        <v>955</v>
      </c>
      <c r="AJ5" s="136" t="s">
        <v>956</v>
      </c>
      <c r="AK5" s="137" t="s">
        <v>351</v>
      </c>
      <c r="AL5" s="135" t="s">
        <v>352</v>
      </c>
      <c r="AM5" s="136" t="s">
        <v>353</v>
      </c>
      <c r="AN5" s="135" t="s">
        <v>354</v>
      </c>
      <c r="AO5" s="135" t="s">
        <v>356</v>
      </c>
      <c r="AP5" s="136" t="s">
        <v>355</v>
      </c>
      <c r="AQ5" s="135" t="s">
        <v>357</v>
      </c>
      <c r="AR5" s="135" t="s">
        <v>304</v>
      </c>
      <c r="AS5" s="135" t="s">
        <v>358</v>
      </c>
      <c r="AT5" s="137" t="s">
        <v>359</v>
      </c>
      <c r="AU5" s="135" t="s">
        <v>360</v>
      </c>
      <c r="AV5" s="136" t="s">
        <v>361</v>
      </c>
    </row>
    <row r="6" spans="1:48" ht="16.5" customHeight="1">
      <c r="A6" s="788">
        <v>1</v>
      </c>
      <c r="B6" s="681" t="s">
        <v>200</v>
      </c>
      <c r="C6" s="1087">
        <v>4</v>
      </c>
      <c r="D6" s="1089">
        <v>3.0000000000000001E-3</v>
      </c>
      <c r="E6" s="1088">
        <v>669</v>
      </c>
      <c r="F6" s="1087">
        <v>1432</v>
      </c>
      <c r="G6" s="1089">
        <v>0.89500000000000002</v>
      </c>
      <c r="H6" s="1177">
        <v>625.16999999999996</v>
      </c>
      <c r="I6" s="1088">
        <v>4885</v>
      </c>
      <c r="J6" s="1089">
        <v>17.888999999999999</v>
      </c>
      <c r="K6" s="1177">
        <v>3662</v>
      </c>
      <c r="L6" s="1450">
        <v>504</v>
      </c>
      <c r="M6" s="1451">
        <v>1.3220000000000001</v>
      </c>
      <c r="N6" s="1452">
        <v>2623.86</v>
      </c>
      <c r="O6" s="1087" t="s">
        <v>1384</v>
      </c>
      <c r="P6" s="1089" t="s">
        <v>1384</v>
      </c>
      <c r="Q6" s="1177" t="s">
        <v>1384</v>
      </c>
      <c r="R6" s="788">
        <v>1</v>
      </c>
      <c r="S6" s="702" t="s">
        <v>200</v>
      </c>
      <c r="T6" s="1087">
        <v>58</v>
      </c>
      <c r="U6" s="1089">
        <v>0.78500000000000003</v>
      </c>
      <c r="V6" s="1453">
        <v>13.54</v>
      </c>
      <c r="W6" s="1450" t="s">
        <v>1384</v>
      </c>
      <c r="X6" s="1451" t="s">
        <v>1384</v>
      </c>
      <c r="Y6" s="1452" t="s">
        <v>1384</v>
      </c>
      <c r="Z6" s="1087" t="s">
        <v>1384</v>
      </c>
      <c r="AA6" s="1089" t="s">
        <v>1384</v>
      </c>
      <c r="AB6" s="1177" t="s">
        <v>1384</v>
      </c>
      <c r="AC6" s="1087">
        <v>7</v>
      </c>
      <c r="AD6" s="1089">
        <v>0.01</v>
      </c>
      <c r="AE6" s="1177">
        <v>1445.21</v>
      </c>
      <c r="AF6" s="1087" t="s">
        <v>1384</v>
      </c>
      <c r="AG6" s="1089" t="s">
        <v>1384</v>
      </c>
      <c r="AH6" s="1177" t="s">
        <v>1384</v>
      </c>
      <c r="AI6" s="788">
        <v>1</v>
      </c>
      <c r="AJ6" s="702" t="s">
        <v>200</v>
      </c>
      <c r="AK6" s="1087">
        <v>5</v>
      </c>
      <c r="AL6" s="1089">
        <v>5.0000000000000001E-3</v>
      </c>
      <c r="AM6" s="1177">
        <v>1090.83</v>
      </c>
      <c r="AN6" s="1087"/>
      <c r="AO6" s="1089"/>
      <c r="AP6" s="1177"/>
      <c r="AQ6" s="1088">
        <v>1</v>
      </c>
      <c r="AR6" s="1089">
        <v>1.4999999999999999E-2</v>
      </c>
      <c r="AS6" s="1088">
        <v>15338</v>
      </c>
      <c r="AT6" s="1087" t="s">
        <v>1384</v>
      </c>
      <c r="AU6" s="1089" t="s">
        <v>1384</v>
      </c>
      <c r="AV6" s="1177" t="s">
        <v>1384</v>
      </c>
    </row>
    <row r="7" spans="1:48" ht="16.5" customHeight="1">
      <c r="A7" s="788">
        <v>2</v>
      </c>
      <c r="B7" s="1085" t="s">
        <v>1386</v>
      </c>
      <c r="C7" s="1087" t="s">
        <v>1384</v>
      </c>
      <c r="D7" s="1089" t="s">
        <v>1384</v>
      </c>
      <c r="E7" s="1088" t="s">
        <v>1384</v>
      </c>
      <c r="F7" s="1087">
        <v>2385</v>
      </c>
      <c r="G7" s="1089">
        <v>1.8759999999999999</v>
      </c>
      <c r="H7" s="1177">
        <v>786.59</v>
      </c>
      <c r="I7" s="1088">
        <v>4826</v>
      </c>
      <c r="J7" s="1089">
        <v>17.324999999999999</v>
      </c>
      <c r="K7" s="1177">
        <v>3589.91</v>
      </c>
      <c r="L7" s="1705">
        <v>5</v>
      </c>
      <c r="M7" s="1705">
        <v>1.2999999999999999E-2</v>
      </c>
      <c r="N7" s="1704">
        <v>2623.86</v>
      </c>
      <c r="O7" s="1087" t="s">
        <v>1384</v>
      </c>
      <c r="P7" s="1089" t="s">
        <v>1384</v>
      </c>
      <c r="Q7" s="1177" t="s">
        <v>1384</v>
      </c>
      <c r="R7" s="788">
        <v>2</v>
      </c>
      <c r="S7" s="1090" t="s">
        <v>1386</v>
      </c>
      <c r="T7" s="1087" t="s">
        <v>1384</v>
      </c>
      <c r="U7" s="1089" t="s">
        <v>1384</v>
      </c>
      <c r="V7" s="1453" t="s">
        <v>1384</v>
      </c>
      <c r="W7" s="1087">
        <v>1</v>
      </c>
      <c r="X7" s="1089">
        <v>1E-3</v>
      </c>
      <c r="Y7" s="1177">
        <v>1066.3599999999999</v>
      </c>
      <c r="Z7" s="1087" t="s">
        <v>1384</v>
      </c>
      <c r="AA7" s="1089" t="s">
        <v>1384</v>
      </c>
      <c r="AB7" s="1177" t="s">
        <v>1384</v>
      </c>
      <c r="AC7" s="1087" t="s">
        <v>1384</v>
      </c>
      <c r="AD7" s="1089" t="s">
        <v>1384</v>
      </c>
      <c r="AE7" s="1177" t="s">
        <v>1384</v>
      </c>
      <c r="AF7" s="1087" t="s">
        <v>1384</v>
      </c>
      <c r="AG7" s="1089" t="s">
        <v>1384</v>
      </c>
      <c r="AH7" s="1177" t="s">
        <v>1384</v>
      </c>
      <c r="AI7" s="788">
        <v>2</v>
      </c>
      <c r="AJ7" s="1090" t="s">
        <v>1386</v>
      </c>
      <c r="AK7" s="1087">
        <v>2</v>
      </c>
      <c r="AL7" s="1089">
        <v>2E-3</v>
      </c>
      <c r="AM7" s="1177">
        <v>1090.83</v>
      </c>
      <c r="AN7" s="1087" t="s">
        <v>1384</v>
      </c>
      <c r="AO7" s="1089" t="s">
        <v>1384</v>
      </c>
      <c r="AP7" s="1177" t="s">
        <v>1384</v>
      </c>
      <c r="AQ7" s="1088">
        <v>102</v>
      </c>
      <c r="AR7" s="1089">
        <v>3.363</v>
      </c>
      <c r="AS7" s="1088">
        <v>32974</v>
      </c>
      <c r="AT7" s="1087" t="s">
        <v>1384</v>
      </c>
      <c r="AU7" s="1089" t="s">
        <v>1384</v>
      </c>
      <c r="AV7" s="1177" t="s">
        <v>1384</v>
      </c>
    </row>
    <row r="8" spans="1:48" ht="16.5" customHeight="1">
      <c r="A8" s="788">
        <v>3</v>
      </c>
      <c r="B8" s="681" t="s">
        <v>1388</v>
      </c>
      <c r="C8" s="1087">
        <v>621</v>
      </c>
      <c r="D8" s="1089">
        <v>0.44900000000000001</v>
      </c>
      <c r="E8" s="1088">
        <v>723.41</v>
      </c>
      <c r="F8" s="1087">
        <v>2614</v>
      </c>
      <c r="G8" s="1089">
        <v>0.14899999999999999</v>
      </c>
      <c r="H8" s="1177">
        <v>57.14</v>
      </c>
      <c r="I8" s="1088">
        <v>11926</v>
      </c>
      <c r="J8" s="1089">
        <v>39.65</v>
      </c>
      <c r="K8" s="1177">
        <v>3324.65</v>
      </c>
      <c r="L8" s="1087" t="s">
        <v>1384</v>
      </c>
      <c r="M8" s="1089" t="s">
        <v>1384</v>
      </c>
      <c r="N8" s="1177" t="s">
        <v>1384</v>
      </c>
      <c r="O8" s="1087" t="s">
        <v>1384</v>
      </c>
      <c r="P8" s="1089" t="s">
        <v>1384</v>
      </c>
      <c r="Q8" s="1177" t="s">
        <v>1384</v>
      </c>
      <c r="R8" s="788">
        <v>3</v>
      </c>
      <c r="S8" s="702" t="s">
        <v>1388</v>
      </c>
      <c r="T8" s="1087" t="s">
        <v>1384</v>
      </c>
      <c r="U8" s="1089" t="s">
        <v>1384</v>
      </c>
      <c r="V8" s="1453" t="s">
        <v>1384</v>
      </c>
      <c r="W8" s="1087">
        <v>30</v>
      </c>
      <c r="X8" s="1089">
        <v>3.9E-2</v>
      </c>
      <c r="Y8" s="1177">
        <v>1294.51</v>
      </c>
      <c r="Z8" s="1087" t="s">
        <v>1384</v>
      </c>
      <c r="AA8" s="1089" t="s">
        <v>1384</v>
      </c>
      <c r="AB8" s="1177" t="s">
        <v>1384</v>
      </c>
      <c r="AC8" s="1087" t="s">
        <v>1384</v>
      </c>
      <c r="AD8" s="1089" t="s">
        <v>1384</v>
      </c>
      <c r="AE8" s="1177" t="s">
        <v>1384</v>
      </c>
      <c r="AF8" s="1087" t="s">
        <v>1384</v>
      </c>
      <c r="AG8" s="1089" t="s">
        <v>1384</v>
      </c>
      <c r="AH8" s="1177" t="s">
        <v>1384</v>
      </c>
      <c r="AI8" s="788">
        <v>3</v>
      </c>
      <c r="AJ8" s="702" t="s">
        <v>1388</v>
      </c>
      <c r="AK8" s="1087">
        <v>921</v>
      </c>
      <c r="AL8" s="1089">
        <v>0.99199999999999999</v>
      </c>
      <c r="AM8" s="1177">
        <v>1076.6500000000001</v>
      </c>
      <c r="AN8" s="1087">
        <v>163</v>
      </c>
      <c r="AO8" s="1089">
        <v>0.19</v>
      </c>
      <c r="AP8" s="1177">
        <v>1164.53</v>
      </c>
      <c r="AQ8" s="1088">
        <v>1313</v>
      </c>
      <c r="AR8" s="1089">
        <v>51.814999999999998</v>
      </c>
      <c r="AS8" s="1088">
        <v>39463</v>
      </c>
      <c r="AT8" s="1087" t="s">
        <v>1384</v>
      </c>
      <c r="AU8" s="1089" t="s">
        <v>1384</v>
      </c>
      <c r="AV8" s="1177" t="s">
        <v>1384</v>
      </c>
    </row>
    <row r="9" spans="1:48" ht="16.5" customHeight="1">
      <c r="A9" s="788">
        <v>4</v>
      </c>
      <c r="B9" s="279" t="s">
        <v>1385</v>
      </c>
      <c r="C9" s="1088" t="s">
        <v>1384</v>
      </c>
      <c r="D9" s="1089" t="s">
        <v>1384</v>
      </c>
      <c r="E9" s="1088" t="s">
        <v>1384</v>
      </c>
      <c r="F9" s="1087">
        <v>3186</v>
      </c>
      <c r="G9" s="1089">
        <v>2.6859999999999999</v>
      </c>
      <c r="H9" s="1177">
        <v>843.09</v>
      </c>
      <c r="I9" s="1088">
        <v>8249</v>
      </c>
      <c r="J9" s="1089">
        <v>30.067</v>
      </c>
      <c r="K9" s="1177">
        <v>3644.9</v>
      </c>
      <c r="L9" s="1087" t="s">
        <v>1384</v>
      </c>
      <c r="M9" s="1089" t="s">
        <v>1384</v>
      </c>
      <c r="N9" s="1177" t="s">
        <v>1384</v>
      </c>
      <c r="O9" s="1087" t="s">
        <v>1384</v>
      </c>
      <c r="P9" s="1089" t="s">
        <v>1384</v>
      </c>
      <c r="Q9" s="1177" t="s">
        <v>1384</v>
      </c>
      <c r="R9" s="788">
        <v>4</v>
      </c>
      <c r="S9" s="1058" t="s">
        <v>1385</v>
      </c>
      <c r="T9" s="1087" t="s">
        <v>1384</v>
      </c>
      <c r="U9" s="1089" t="s">
        <v>1384</v>
      </c>
      <c r="V9" s="1453" t="s">
        <v>1384</v>
      </c>
      <c r="W9" s="1087" t="s">
        <v>1384</v>
      </c>
      <c r="X9" s="1089" t="s">
        <v>1384</v>
      </c>
      <c r="Y9" s="1177" t="s">
        <v>1384</v>
      </c>
      <c r="Z9" s="1087" t="s">
        <v>1384</v>
      </c>
      <c r="AA9" s="1089" t="s">
        <v>1384</v>
      </c>
      <c r="AB9" s="1177" t="s">
        <v>1384</v>
      </c>
      <c r="AC9" s="1087" t="s">
        <v>1384</v>
      </c>
      <c r="AD9" s="1089" t="s">
        <v>1384</v>
      </c>
      <c r="AE9" s="1177" t="s">
        <v>1384</v>
      </c>
      <c r="AF9" s="1087" t="s">
        <v>1384</v>
      </c>
      <c r="AG9" s="1089" t="s">
        <v>1384</v>
      </c>
      <c r="AH9" s="1177" t="s">
        <v>1384</v>
      </c>
      <c r="AI9" s="788">
        <v>4</v>
      </c>
      <c r="AJ9" s="1058" t="s">
        <v>1385</v>
      </c>
      <c r="AK9" s="1087">
        <v>31</v>
      </c>
      <c r="AL9" s="1089">
        <v>1.7999999999999999E-2</v>
      </c>
      <c r="AM9" s="1177">
        <v>593.66999999999996</v>
      </c>
      <c r="AN9" s="1087" t="s">
        <v>1384</v>
      </c>
      <c r="AO9" s="1089" t="s">
        <v>1384</v>
      </c>
      <c r="AP9" s="1177" t="s">
        <v>1384</v>
      </c>
      <c r="AQ9" s="1088">
        <v>2</v>
      </c>
      <c r="AR9" s="1089">
        <v>4.7E-2</v>
      </c>
      <c r="AS9" s="1088">
        <v>23381</v>
      </c>
      <c r="AT9" s="1087" t="s">
        <v>1384</v>
      </c>
      <c r="AU9" s="1089" t="s">
        <v>1384</v>
      </c>
      <c r="AV9" s="1177" t="s">
        <v>1384</v>
      </c>
    </row>
    <row r="10" spans="1:48" ht="16.5" customHeight="1">
      <c r="A10" s="788">
        <v>5</v>
      </c>
      <c r="B10" s="681" t="s">
        <v>1390</v>
      </c>
      <c r="C10" s="1087" t="s">
        <v>1384</v>
      </c>
      <c r="D10" s="1089" t="s">
        <v>1384</v>
      </c>
      <c r="E10" s="1088" t="s">
        <v>1384</v>
      </c>
      <c r="F10" s="1087">
        <v>2148</v>
      </c>
      <c r="G10" s="1089">
        <v>1.7729999999999999</v>
      </c>
      <c r="H10" s="1177">
        <v>825.29</v>
      </c>
      <c r="I10" s="1088">
        <v>8997</v>
      </c>
      <c r="J10" s="1089">
        <v>31.134</v>
      </c>
      <c r="K10" s="1177">
        <v>3460.43</v>
      </c>
      <c r="L10" s="1087" t="s">
        <v>1384</v>
      </c>
      <c r="M10" s="1089" t="s">
        <v>1384</v>
      </c>
      <c r="N10" s="1177" t="s">
        <v>1384</v>
      </c>
      <c r="O10" s="1087" t="s">
        <v>1384</v>
      </c>
      <c r="P10" s="1089" t="s">
        <v>1384</v>
      </c>
      <c r="Q10" s="1177" t="s">
        <v>1384</v>
      </c>
      <c r="R10" s="788">
        <v>5</v>
      </c>
      <c r="S10" s="702" t="s">
        <v>1390</v>
      </c>
      <c r="T10" s="1087">
        <v>186</v>
      </c>
      <c r="U10" s="1089">
        <v>2.5179999999999998</v>
      </c>
      <c r="V10" s="1453">
        <v>13.54</v>
      </c>
      <c r="W10" s="1087" t="s">
        <v>1384</v>
      </c>
      <c r="X10" s="1089" t="s">
        <v>1384</v>
      </c>
      <c r="Y10" s="1177" t="s">
        <v>1384</v>
      </c>
      <c r="Z10" s="1775" t="s">
        <v>1384</v>
      </c>
      <c r="AA10" s="1703" t="s">
        <v>1384</v>
      </c>
      <c r="AB10" s="1776" t="s">
        <v>1384</v>
      </c>
      <c r="AC10" s="1087" t="s">
        <v>1384</v>
      </c>
      <c r="AD10" s="1089" t="s">
        <v>1384</v>
      </c>
      <c r="AE10" s="1177" t="s">
        <v>1384</v>
      </c>
      <c r="AF10" s="1087" t="s">
        <v>1384</v>
      </c>
      <c r="AG10" s="1089" t="s">
        <v>1384</v>
      </c>
      <c r="AH10" s="1177" t="s">
        <v>1384</v>
      </c>
      <c r="AI10" s="788">
        <v>5</v>
      </c>
      <c r="AJ10" s="702" t="s">
        <v>1390</v>
      </c>
      <c r="AK10" s="1087">
        <v>57</v>
      </c>
      <c r="AL10" s="1089">
        <v>6.2E-2</v>
      </c>
      <c r="AM10" s="1177">
        <v>1090.83</v>
      </c>
      <c r="AN10" s="1087">
        <v>6</v>
      </c>
      <c r="AO10" s="1089">
        <v>7.0000000000000001E-3</v>
      </c>
      <c r="AP10" s="1177">
        <v>1196.49</v>
      </c>
      <c r="AQ10" s="1088">
        <v>265</v>
      </c>
      <c r="AR10" s="1089">
        <v>8.7309999999999999</v>
      </c>
      <c r="AS10" s="1088">
        <v>32949</v>
      </c>
      <c r="AT10" s="1087" t="s">
        <v>1384</v>
      </c>
      <c r="AU10" s="1089" t="s">
        <v>1384</v>
      </c>
      <c r="AV10" s="1177" t="s">
        <v>1384</v>
      </c>
    </row>
    <row r="11" spans="1:48" ht="16.5" customHeight="1">
      <c r="A11" s="788">
        <v>6</v>
      </c>
      <c r="B11" s="681" t="s">
        <v>1391</v>
      </c>
      <c r="C11" s="1087" t="s">
        <v>1384</v>
      </c>
      <c r="D11" s="1089" t="s">
        <v>1384</v>
      </c>
      <c r="E11" s="1088" t="s">
        <v>1384</v>
      </c>
      <c r="F11" s="1087">
        <v>2441</v>
      </c>
      <c r="G11" s="1089">
        <v>1.5049999999999999</v>
      </c>
      <c r="H11" s="1177">
        <v>616.66999999999996</v>
      </c>
      <c r="I11" s="1088">
        <v>9327</v>
      </c>
      <c r="J11" s="1089">
        <v>32.707000000000001</v>
      </c>
      <c r="K11" s="1177">
        <v>3506.69</v>
      </c>
      <c r="L11" s="1087" t="s">
        <v>1384</v>
      </c>
      <c r="M11" s="1089" t="s">
        <v>1384</v>
      </c>
      <c r="N11" s="1177" t="s">
        <v>1384</v>
      </c>
      <c r="O11" s="1087" t="s">
        <v>1384</v>
      </c>
      <c r="P11" s="1089" t="s">
        <v>1384</v>
      </c>
      <c r="Q11" s="1177" t="s">
        <v>1384</v>
      </c>
      <c r="R11" s="788">
        <v>6</v>
      </c>
      <c r="S11" s="702" t="s">
        <v>1391</v>
      </c>
      <c r="T11" s="1087"/>
      <c r="U11" s="1089"/>
      <c r="V11" s="1453"/>
      <c r="W11" s="1087" t="s">
        <v>1384</v>
      </c>
      <c r="X11" s="1089" t="s">
        <v>1384</v>
      </c>
      <c r="Y11" s="1177" t="s">
        <v>1384</v>
      </c>
      <c r="Z11" s="1087" t="s">
        <v>1384</v>
      </c>
      <c r="AA11" s="1089" t="s">
        <v>1384</v>
      </c>
      <c r="AB11" s="1177" t="s">
        <v>1384</v>
      </c>
      <c r="AC11" s="1087">
        <v>55</v>
      </c>
      <c r="AD11" s="1089">
        <v>7.9000000000000001E-2</v>
      </c>
      <c r="AE11" s="1177">
        <v>1445.21</v>
      </c>
      <c r="AF11" s="1087" t="s">
        <v>1384</v>
      </c>
      <c r="AG11" s="1089" t="s">
        <v>1384</v>
      </c>
      <c r="AH11" s="1177" t="s">
        <v>1384</v>
      </c>
      <c r="AI11" s="788">
        <v>6</v>
      </c>
      <c r="AJ11" s="702" t="s">
        <v>1391</v>
      </c>
      <c r="AK11" s="1087" t="s">
        <v>1384</v>
      </c>
      <c r="AL11" s="1089" t="s">
        <v>1384</v>
      </c>
      <c r="AM11" s="1177" t="s">
        <v>1384</v>
      </c>
      <c r="AN11" s="1087" t="s">
        <v>1384</v>
      </c>
      <c r="AO11" s="1089" t="s">
        <v>1384</v>
      </c>
      <c r="AP11" s="1177" t="s">
        <v>1384</v>
      </c>
      <c r="AQ11" s="1088">
        <v>72</v>
      </c>
      <c r="AR11" s="1089">
        <v>2.1259999999999999</v>
      </c>
      <c r="AS11" s="1088">
        <v>29522</v>
      </c>
      <c r="AT11" s="1087" t="s">
        <v>1384</v>
      </c>
      <c r="AU11" s="1089" t="s">
        <v>1384</v>
      </c>
      <c r="AV11" s="1177" t="s">
        <v>1384</v>
      </c>
    </row>
    <row r="12" spans="1:48" ht="16.5" customHeight="1">
      <c r="A12" s="788">
        <v>7</v>
      </c>
      <c r="B12" s="944" t="s">
        <v>1392</v>
      </c>
      <c r="C12" s="1087">
        <v>1243</v>
      </c>
      <c r="D12" s="1089">
        <v>0.59299999999999997</v>
      </c>
      <c r="E12" s="1088">
        <v>476.96</v>
      </c>
      <c r="F12" s="1087">
        <v>2248</v>
      </c>
      <c r="G12" s="1089">
        <v>0.77300000000000002</v>
      </c>
      <c r="H12" s="1177">
        <v>344.02</v>
      </c>
      <c r="I12" s="1088">
        <v>2462</v>
      </c>
      <c r="J12" s="1089">
        <v>8.6820000000000004</v>
      </c>
      <c r="K12" s="1177">
        <v>3526.53</v>
      </c>
      <c r="L12" s="1087" t="s">
        <v>1384</v>
      </c>
      <c r="M12" s="1089" t="s">
        <v>1384</v>
      </c>
      <c r="N12" s="1177" t="s">
        <v>1384</v>
      </c>
      <c r="O12" s="1087" t="s">
        <v>1384</v>
      </c>
      <c r="P12" s="1089" t="s">
        <v>1384</v>
      </c>
      <c r="Q12" s="1177" t="s">
        <v>1384</v>
      </c>
      <c r="R12" s="788">
        <v>7</v>
      </c>
      <c r="S12" s="1091" t="s">
        <v>1392</v>
      </c>
      <c r="T12" s="1087">
        <v>2</v>
      </c>
      <c r="U12" s="1089">
        <v>2.7E-2</v>
      </c>
      <c r="V12" s="1453">
        <v>13.54</v>
      </c>
      <c r="W12" s="1087" t="s">
        <v>1384</v>
      </c>
      <c r="X12" s="1089" t="s">
        <v>1384</v>
      </c>
      <c r="Y12" s="1177" t="s">
        <v>1384</v>
      </c>
      <c r="Z12" s="1087" t="s">
        <v>1384</v>
      </c>
      <c r="AA12" s="1089" t="s">
        <v>1384</v>
      </c>
      <c r="AB12" s="1177" t="s">
        <v>1384</v>
      </c>
      <c r="AC12" s="1087">
        <v>2823</v>
      </c>
      <c r="AD12" s="1089">
        <v>4.6859999999999999</v>
      </c>
      <c r="AE12" s="1177">
        <v>1659.94</v>
      </c>
      <c r="AF12" s="1087" t="s">
        <v>1384</v>
      </c>
      <c r="AG12" s="1089" t="s">
        <v>1384</v>
      </c>
      <c r="AH12" s="1177" t="s">
        <v>1384</v>
      </c>
      <c r="AI12" s="788">
        <v>7</v>
      </c>
      <c r="AJ12" s="1091" t="s">
        <v>1392</v>
      </c>
      <c r="AK12" s="1087">
        <v>23</v>
      </c>
      <c r="AL12" s="1089">
        <v>1.4E-2</v>
      </c>
      <c r="AM12" s="1177">
        <v>604.97</v>
      </c>
      <c r="AN12" s="1087" t="s">
        <v>1384</v>
      </c>
      <c r="AO12" s="1089" t="s">
        <v>1384</v>
      </c>
      <c r="AP12" s="1177" t="s">
        <v>1384</v>
      </c>
      <c r="AQ12" s="1088">
        <v>121</v>
      </c>
      <c r="AR12" s="1089">
        <v>3.3540000000000001</v>
      </c>
      <c r="AS12" s="1088">
        <v>27716</v>
      </c>
      <c r="AT12" s="1087" t="s">
        <v>1384</v>
      </c>
      <c r="AU12" s="1089" t="s">
        <v>1384</v>
      </c>
      <c r="AV12" s="1177" t="s">
        <v>1384</v>
      </c>
    </row>
    <row r="13" spans="1:48" ht="16.5" customHeight="1">
      <c r="A13" s="788">
        <v>8</v>
      </c>
      <c r="B13" s="681" t="s">
        <v>1393</v>
      </c>
      <c r="C13" s="1087">
        <v>150</v>
      </c>
      <c r="D13" s="1089">
        <v>0.307</v>
      </c>
      <c r="E13" s="1088">
        <v>2043.87</v>
      </c>
      <c r="F13" s="1087">
        <v>9894</v>
      </c>
      <c r="G13" s="1089">
        <v>12.67</v>
      </c>
      <c r="H13" s="1177">
        <v>1280.58</v>
      </c>
      <c r="I13" s="1088">
        <v>6356</v>
      </c>
      <c r="J13" s="1089">
        <v>23.856000000000002</v>
      </c>
      <c r="K13" s="1177">
        <v>3753.38</v>
      </c>
      <c r="L13" s="1087" t="s">
        <v>1384</v>
      </c>
      <c r="M13" s="1089" t="s">
        <v>1384</v>
      </c>
      <c r="N13" s="1177" t="s">
        <v>1384</v>
      </c>
      <c r="O13" s="1087" t="s">
        <v>1384</v>
      </c>
      <c r="P13" s="1089" t="s">
        <v>1384</v>
      </c>
      <c r="Q13" s="1177" t="s">
        <v>1384</v>
      </c>
      <c r="R13" s="788">
        <v>8</v>
      </c>
      <c r="S13" s="702" t="s">
        <v>1393</v>
      </c>
      <c r="T13" s="1087" t="s">
        <v>1384</v>
      </c>
      <c r="U13" s="1089" t="s">
        <v>1384</v>
      </c>
      <c r="V13" s="1453" t="s">
        <v>1384</v>
      </c>
      <c r="W13" s="1087" t="s">
        <v>1384</v>
      </c>
      <c r="X13" s="1089" t="s">
        <v>1384</v>
      </c>
      <c r="Y13" s="1177" t="s">
        <v>1384</v>
      </c>
      <c r="Z13" s="1087" t="s">
        <v>1384</v>
      </c>
      <c r="AA13" s="1089" t="s">
        <v>1384</v>
      </c>
      <c r="AB13" s="1177" t="s">
        <v>1384</v>
      </c>
      <c r="AC13" s="1087">
        <v>208</v>
      </c>
      <c r="AD13" s="1089">
        <v>0.29599999999999999</v>
      </c>
      <c r="AE13" s="1177">
        <v>1423.02</v>
      </c>
      <c r="AF13" s="1087" t="s">
        <v>1384</v>
      </c>
      <c r="AG13" s="1089" t="s">
        <v>1384</v>
      </c>
      <c r="AH13" s="1177" t="s">
        <v>1384</v>
      </c>
      <c r="AI13" s="788">
        <v>8</v>
      </c>
      <c r="AJ13" s="702" t="s">
        <v>1393</v>
      </c>
      <c r="AK13" s="1087">
        <v>4</v>
      </c>
      <c r="AL13" s="1089">
        <v>2E-3</v>
      </c>
      <c r="AM13" s="1177">
        <v>575.1</v>
      </c>
      <c r="AN13" s="1087" t="s">
        <v>1384</v>
      </c>
      <c r="AO13" s="1089" t="s">
        <v>1384</v>
      </c>
      <c r="AP13" s="1177" t="s">
        <v>1384</v>
      </c>
      <c r="AQ13" s="1088">
        <v>19</v>
      </c>
      <c r="AR13" s="1089">
        <v>0.51800000000000002</v>
      </c>
      <c r="AS13" s="1088">
        <v>27285</v>
      </c>
      <c r="AT13" s="1087" t="s">
        <v>1384</v>
      </c>
      <c r="AU13" s="1089" t="s">
        <v>1384</v>
      </c>
      <c r="AV13" s="1177" t="s">
        <v>1384</v>
      </c>
    </row>
    <row r="14" spans="1:48" ht="16.5" customHeight="1">
      <c r="A14" s="788">
        <v>9</v>
      </c>
      <c r="B14" s="681" t="s">
        <v>1395</v>
      </c>
      <c r="C14" s="1087">
        <v>3187</v>
      </c>
      <c r="D14" s="1089">
        <v>6.5140000000000002</v>
      </c>
      <c r="E14" s="1083">
        <v>2043.87</v>
      </c>
      <c r="F14" s="1087">
        <v>23845</v>
      </c>
      <c r="G14" s="1089">
        <v>44.514000000000003</v>
      </c>
      <c r="H14" s="1084">
        <v>1866.82</v>
      </c>
      <c r="I14" s="1088">
        <v>810</v>
      </c>
      <c r="J14" s="1089">
        <v>3.069</v>
      </c>
      <c r="K14" s="1177">
        <v>3788.91</v>
      </c>
      <c r="L14" s="1087" t="s">
        <v>1384</v>
      </c>
      <c r="M14" s="1089" t="s">
        <v>1384</v>
      </c>
      <c r="N14" s="1177" t="s">
        <v>1384</v>
      </c>
      <c r="O14" s="1087" t="s">
        <v>1384</v>
      </c>
      <c r="P14" s="1089" t="s">
        <v>1384</v>
      </c>
      <c r="Q14" s="1177" t="s">
        <v>1384</v>
      </c>
      <c r="R14" s="788">
        <v>9</v>
      </c>
      <c r="S14" s="702" t="s">
        <v>1395</v>
      </c>
      <c r="T14" s="1087">
        <v>3</v>
      </c>
      <c r="U14" s="1089">
        <v>4.1000000000000002E-2</v>
      </c>
      <c r="V14" s="1453">
        <v>13.54</v>
      </c>
      <c r="W14" s="1087" t="s">
        <v>1384</v>
      </c>
      <c r="X14" s="1089" t="s">
        <v>1384</v>
      </c>
      <c r="Y14" s="1177" t="s">
        <v>1384</v>
      </c>
      <c r="Z14" s="1087" t="s">
        <v>1384</v>
      </c>
      <c r="AA14" s="1089" t="s">
        <v>1384</v>
      </c>
      <c r="AB14" s="1177" t="s">
        <v>1384</v>
      </c>
      <c r="AC14" s="1087">
        <v>532</v>
      </c>
      <c r="AD14" s="1089">
        <v>0.75700000000000001</v>
      </c>
      <c r="AE14" s="1177">
        <v>1423.02</v>
      </c>
      <c r="AF14" s="1087" t="s">
        <v>1384</v>
      </c>
      <c r="AG14" s="1089" t="s">
        <v>1384</v>
      </c>
      <c r="AH14" s="1177" t="s">
        <v>1384</v>
      </c>
      <c r="AI14" s="788">
        <v>9</v>
      </c>
      <c r="AJ14" s="702" t="s">
        <v>1395</v>
      </c>
      <c r="AK14" s="1087">
        <v>57</v>
      </c>
      <c r="AL14" s="1089">
        <v>3.3000000000000002E-2</v>
      </c>
      <c r="AM14" s="1177">
        <v>575.1</v>
      </c>
      <c r="AN14" s="1087" t="s">
        <v>1384</v>
      </c>
      <c r="AO14" s="1089" t="s">
        <v>1384</v>
      </c>
      <c r="AP14" s="1177" t="s">
        <v>1384</v>
      </c>
      <c r="AQ14" s="1088">
        <v>429</v>
      </c>
      <c r="AR14" s="1089">
        <v>7.2089999999999996</v>
      </c>
      <c r="AS14" s="1088">
        <v>16804</v>
      </c>
      <c r="AT14" s="1087" t="s">
        <v>1384</v>
      </c>
      <c r="AU14" s="1089" t="s">
        <v>1384</v>
      </c>
      <c r="AV14" s="1177" t="s">
        <v>1384</v>
      </c>
    </row>
    <row r="15" spans="1:48" ht="16.5" customHeight="1">
      <c r="A15" s="788">
        <v>10</v>
      </c>
      <c r="B15" s="681" t="s">
        <v>1396</v>
      </c>
      <c r="C15" s="1087">
        <v>143</v>
      </c>
      <c r="D15" s="1089">
        <v>0.29199999999999998</v>
      </c>
      <c r="E15" s="1088">
        <v>2043.87</v>
      </c>
      <c r="F15" s="1087">
        <v>8527</v>
      </c>
      <c r="G15" s="1089">
        <v>11.449</v>
      </c>
      <c r="H15" s="1177">
        <v>1342.7</v>
      </c>
      <c r="I15" s="1088">
        <v>1470</v>
      </c>
      <c r="J15" s="1089">
        <v>5.4509999999999996</v>
      </c>
      <c r="K15" s="1177">
        <v>3707.94</v>
      </c>
      <c r="L15" s="1087" t="s">
        <v>1384</v>
      </c>
      <c r="M15" s="1089" t="s">
        <v>1384</v>
      </c>
      <c r="N15" s="1177" t="s">
        <v>1384</v>
      </c>
      <c r="O15" s="1087" t="s">
        <v>1384</v>
      </c>
      <c r="P15" s="1089" t="s">
        <v>1384</v>
      </c>
      <c r="Q15" s="1177" t="s">
        <v>1384</v>
      </c>
      <c r="R15" s="788">
        <v>10</v>
      </c>
      <c r="S15" s="702" t="s">
        <v>1396</v>
      </c>
      <c r="T15" s="1087" t="s">
        <v>1384</v>
      </c>
      <c r="U15" s="1089" t="s">
        <v>1384</v>
      </c>
      <c r="V15" s="1453" t="s">
        <v>1384</v>
      </c>
      <c r="W15" s="1087" t="s">
        <v>1384</v>
      </c>
      <c r="X15" s="1089" t="s">
        <v>1384</v>
      </c>
      <c r="Y15" s="1177" t="s">
        <v>1384</v>
      </c>
      <c r="Z15" s="1087" t="s">
        <v>1384</v>
      </c>
      <c r="AA15" s="1089" t="s">
        <v>1384</v>
      </c>
      <c r="AB15" s="1177" t="s">
        <v>1384</v>
      </c>
      <c r="AC15" s="1087">
        <v>2623</v>
      </c>
      <c r="AD15" s="1089">
        <v>3.9689999999999999</v>
      </c>
      <c r="AE15" s="1177">
        <v>1513.19</v>
      </c>
      <c r="AF15" s="1087" t="s">
        <v>1384</v>
      </c>
      <c r="AG15" s="1089" t="s">
        <v>1384</v>
      </c>
      <c r="AH15" s="1177" t="s">
        <v>1384</v>
      </c>
      <c r="AI15" s="788">
        <v>10</v>
      </c>
      <c r="AJ15" s="702" t="s">
        <v>1396</v>
      </c>
      <c r="AK15" s="1087">
        <v>50</v>
      </c>
      <c r="AL15" s="1089">
        <v>3.1E-2</v>
      </c>
      <c r="AM15" s="1177">
        <v>615.5</v>
      </c>
      <c r="AN15" s="1087" t="s">
        <v>1384</v>
      </c>
      <c r="AO15" s="1089" t="s">
        <v>1384</v>
      </c>
      <c r="AP15" s="1177" t="s">
        <v>1384</v>
      </c>
      <c r="AQ15" s="1088">
        <v>230</v>
      </c>
      <c r="AR15" s="1089">
        <v>4.1120000000000001</v>
      </c>
      <c r="AS15" s="1088">
        <v>17878</v>
      </c>
      <c r="AT15" s="1087" t="s">
        <v>1384</v>
      </c>
      <c r="AU15" s="1089" t="s">
        <v>1384</v>
      </c>
      <c r="AV15" s="1177" t="s">
        <v>1384</v>
      </c>
    </row>
    <row r="16" spans="1:48" ht="16.5" customHeight="1">
      <c r="A16" s="788">
        <v>11</v>
      </c>
      <c r="B16" s="681" t="s">
        <v>1397</v>
      </c>
      <c r="C16" s="1087" t="s">
        <v>1384</v>
      </c>
      <c r="D16" s="1089" t="s">
        <v>1384</v>
      </c>
      <c r="E16" s="1088" t="s">
        <v>1384</v>
      </c>
      <c r="F16" s="1087">
        <v>4596</v>
      </c>
      <c r="G16" s="1089">
        <v>5.8029999999999999</v>
      </c>
      <c r="H16" s="1177">
        <v>1262.71</v>
      </c>
      <c r="I16" s="1088">
        <v>1206</v>
      </c>
      <c r="J16" s="1089">
        <v>3.891</v>
      </c>
      <c r="K16" s="1177">
        <v>3226.44</v>
      </c>
      <c r="L16" s="1087" t="s">
        <v>1384</v>
      </c>
      <c r="M16" s="1089" t="s">
        <v>1384</v>
      </c>
      <c r="N16" s="1177" t="s">
        <v>1384</v>
      </c>
      <c r="O16" s="1087" t="s">
        <v>1384</v>
      </c>
      <c r="P16" s="1089" t="s">
        <v>1384</v>
      </c>
      <c r="Q16" s="1177" t="s">
        <v>1384</v>
      </c>
      <c r="R16" s="788">
        <v>11</v>
      </c>
      <c r="S16" s="702" t="s">
        <v>1397</v>
      </c>
      <c r="T16" s="1087" t="s">
        <v>1384</v>
      </c>
      <c r="U16" s="1089" t="s">
        <v>1384</v>
      </c>
      <c r="V16" s="1453" t="s">
        <v>1384</v>
      </c>
      <c r="W16" s="1087" t="s">
        <v>1384</v>
      </c>
      <c r="X16" s="1089" t="s">
        <v>1384</v>
      </c>
      <c r="Y16" s="1177" t="s">
        <v>1384</v>
      </c>
      <c r="Z16" s="1087" t="s">
        <v>1384</v>
      </c>
      <c r="AA16" s="1089" t="s">
        <v>1384</v>
      </c>
      <c r="AB16" s="1177" t="s">
        <v>1384</v>
      </c>
      <c r="AC16" s="1087">
        <v>228</v>
      </c>
      <c r="AD16" s="1089">
        <v>0.32400000000000001</v>
      </c>
      <c r="AE16" s="1177">
        <v>1423.02</v>
      </c>
      <c r="AF16" s="1087" t="s">
        <v>1384</v>
      </c>
      <c r="AG16" s="1089" t="s">
        <v>1384</v>
      </c>
      <c r="AH16" s="1177" t="s">
        <v>1384</v>
      </c>
      <c r="AI16" s="788">
        <v>11</v>
      </c>
      <c r="AJ16" s="702" t="s">
        <v>1397</v>
      </c>
      <c r="AK16" s="1087" t="s">
        <v>1384</v>
      </c>
      <c r="AL16" s="1089" t="s">
        <v>1384</v>
      </c>
      <c r="AM16" s="1177" t="s">
        <v>1384</v>
      </c>
      <c r="AN16" s="1087" t="s">
        <v>1384</v>
      </c>
      <c r="AO16" s="1089" t="s">
        <v>1384</v>
      </c>
      <c r="AP16" s="1177" t="s">
        <v>1384</v>
      </c>
      <c r="AQ16" s="1088">
        <v>14</v>
      </c>
      <c r="AR16" s="1089">
        <v>0.38200000000000001</v>
      </c>
      <c r="AS16" s="1088">
        <v>27251</v>
      </c>
      <c r="AT16" s="1087" t="s">
        <v>1384</v>
      </c>
      <c r="AU16" s="1089" t="s">
        <v>1384</v>
      </c>
      <c r="AV16" s="1177" t="s">
        <v>1384</v>
      </c>
    </row>
    <row r="17" spans="1:48" ht="16.5" customHeight="1">
      <c r="A17" s="788">
        <v>12</v>
      </c>
      <c r="B17" s="681" t="s">
        <v>1399</v>
      </c>
      <c r="C17" s="1087" t="s">
        <v>1384</v>
      </c>
      <c r="D17" s="1089" t="s">
        <v>1384</v>
      </c>
      <c r="E17" s="1088" t="s">
        <v>1384</v>
      </c>
      <c r="F17" s="1087">
        <v>1571</v>
      </c>
      <c r="G17" s="1089">
        <v>0.70299999999999996</v>
      </c>
      <c r="H17" s="1177">
        <v>447.75</v>
      </c>
      <c r="I17" s="1088">
        <v>432</v>
      </c>
      <c r="J17" s="1089">
        <v>1.369</v>
      </c>
      <c r="K17" s="1177">
        <v>3169.16</v>
      </c>
      <c r="L17" s="1087" t="s">
        <v>1384</v>
      </c>
      <c r="M17" s="1089" t="s">
        <v>1384</v>
      </c>
      <c r="N17" s="1177" t="s">
        <v>1384</v>
      </c>
      <c r="O17" s="1087" t="s">
        <v>1384</v>
      </c>
      <c r="P17" s="1089" t="s">
        <v>1384</v>
      </c>
      <c r="Q17" s="1177" t="s">
        <v>1384</v>
      </c>
      <c r="R17" s="788">
        <v>12</v>
      </c>
      <c r="S17" s="702" t="s">
        <v>1399</v>
      </c>
      <c r="T17" s="1087" t="s">
        <v>1384</v>
      </c>
      <c r="U17" s="1089" t="s">
        <v>1384</v>
      </c>
      <c r="V17" s="1453" t="s">
        <v>1384</v>
      </c>
      <c r="W17" s="1087" t="s">
        <v>1384</v>
      </c>
      <c r="X17" s="1089" t="s">
        <v>1384</v>
      </c>
      <c r="Y17" s="1177" t="s">
        <v>1384</v>
      </c>
      <c r="Z17" s="1087" t="s">
        <v>1384</v>
      </c>
      <c r="AA17" s="1089" t="s">
        <v>1384</v>
      </c>
      <c r="AB17" s="1177" t="s">
        <v>1384</v>
      </c>
      <c r="AC17" s="1087">
        <v>715</v>
      </c>
      <c r="AD17" s="1089">
        <v>1.0169999999999999</v>
      </c>
      <c r="AE17" s="1177">
        <v>1423.02</v>
      </c>
      <c r="AF17" s="1087" t="s">
        <v>1384</v>
      </c>
      <c r="AG17" s="1089" t="s">
        <v>1384</v>
      </c>
      <c r="AH17" s="1177" t="s">
        <v>1384</v>
      </c>
      <c r="AI17" s="788">
        <v>12</v>
      </c>
      <c r="AJ17" s="702" t="s">
        <v>1399</v>
      </c>
      <c r="AK17" s="1087" t="s">
        <v>1384</v>
      </c>
      <c r="AL17" s="1089" t="s">
        <v>1384</v>
      </c>
      <c r="AM17" s="1177" t="s">
        <v>1384</v>
      </c>
      <c r="AN17" s="1087" t="s">
        <v>1384</v>
      </c>
      <c r="AO17" s="1089" t="s">
        <v>1384</v>
      </c>
      <c r="AP17" s="1177" t="s">
        <v>1384</v>
      </c>
      <c r="AQ17" s="1088" t="s">
        <v>1384</v>
      </c>
      <c r="AR17" s="1089" t="s">
        <v>1384</v>
      </c>
      <c r="AS17" s="1088" t="s">
        <v>1384</v>
      </c>
      <c r="AT17" s="1087" t="s">
        <v>1384</v>
      </c>
      <c r="AU17" s="1089" t="s">
        <v>1384</v>
      </c>
      <c r="AV17" s="1177" t="s">
        <v>1384</v>
      </c>
    </row>
    <row r="18" spans="1:48" ht="16.5" customHeight="1">
      <c r="A18" s="788">
        <v>13</v>
      </c>
      <c r="B18" s="681" t="s">
        <v>1269</v>
      </c>
      <c r="C18" s="1087">
        <v>4682</v>
      </c>
      <c r="D18" s="1089">
        <v>11.856999999999999</v>
      </c>
      <c r="E18" s="1088">
        <v>2532.5700000000002</v>
      </c>
      <c r="F18" s="1087">
        <v>17281</v>
      </c>
      <c r="G18" s="1089">
        <v>31.032</v>
      </c>
      <c r="H18" s="1177">
        <v>1795.73</v>
      </c>
      <c r="I18" s="1087">
        <v>10565</v>
      </c>
      <c r="J18" s="1089">
        <v>47.54</v>
      </c>
      <c r="K18" s="1177">
        <v>4499.74</v>
      </c>
      <c r="L18" s="1087" t="s">
        <v>1384</v>
      </c>
      <c r="M18" s="1089" t="s">
        <v>1384</v>
      </c>
      <c r="N18" s="1177" t="s">
        <v>1384</v>
      </c>
      <c r="O18" s="1087" t="s">
        <v>1384</v>
      </c>
      <c r="P18" s="1089" t="s">
        <v>1384</v>
      </c>
      <c r="Q18" s="1177" t="s">
        <v>1384</v>
      </c>
      <c r="R18" s="788">
        <v>13</v>
      </c>
      <c r="S18" s="702" t="s">
        <v>1269</v>
      </c>
      <c r="T18" s="1087" t="s">
        <v>1384</v>
      </c>
      <c r="U18" s="1089" t="s">
        <v>1384</v>
      </c>
      <c r="V18" s="1453" t="s">
        <v>1384</v>
      </c>
      <c r="W18" s="1087" t="s">
        <v>1384</v>
      </c>
      <c r="X18" s="1089" t="s">
        <v>1384</v>
      </c>
      <c r="Y18" s="1177" t="s">
        <v>1384</v>
      </c>
      <c r="Z18" s="1087" t="s">
        <v>1384</v>
      </c>
      <c r="AA18" s="1089" t="s">
        <v>1384</v>
      </c>
      <c r="AB18" s="1177" t="s">
        <v>1384</v>
      </c>
      <c r="AC18" s="1087">
        <v>115</v>
      </c>
      <c r="AD18" s="1089">
        <v>0.16600000000000001</v>
      </c>
      <c r="AE18" s="1177">
        <v>1445.21</v>
      </c>
      <c r="AF18" s="1087" t="s">
        <v>1384</v>
      </c>
      <c r="AG18" s="1089" t="s">
        <v>1384</v>
      </c>
      <c r="AH18" s="1177" t="s">
        <v>1384</v>
      </c>
      <c r="AI18" s="788">
        <v>13</v>
      </c>
      <c r="AJ18" s="702" t="s">
        <v>1269</v>
      </c>
      <c r="AK18" s="1087">
        <v>3</v>
      </c>
      <c r="AL18" s="1089">
        <v>3.0000000000000001E-3</v>
      </c>
      <c r="AM18" s="1177">
        <v>972.07</v>
      </c>
      <c r="AN18" s="1087" t="s">
        <v>1384</v>
      </c>
      <c r="AO18" s="1089" t="s">
        <v>1384</v>
      </c>
      <c r="AP18" s="1177" t="s">
        <v>1384</v>
      </c>
      <c r="AQ18" s="1088">
        <v>114</v>
      </c>
      <c r="AR18" s="1089">
        <v>3.4239999999999999</v>
      </c>
      <c r="AS18" s="1088">
        <v>30032</v>
      </c>
      <c r="AT18" s="1087" t="s">
        <v>1384</v>
      </c>
      <c r="AU18" s="1089" t="s">
        <v>1384</v>
      </c>
      <c r="AV18" s="1177" t="s">
        <v>1384</v>
      </c>
    </row>
    <row r="19" spans="1:48" ht="16.5" customHeight="1">
      <c r="A19" s="788">
        <v>14</v>
      </c>
      <c r="B19" s="681" t="s">
        <v>1270</v>
      </c>
      <c r="C19" s="1087">
        <v>949</v>
      </c>
      <c r="D19" s="1089">
        <v>2.95</v>
      </c>
      <c r="E19" s="1088">
        <v>3108.29</v>
      </c>
      <c r="F19" s="1087">
        <v>29950</v>
      </c>
      <c r="G19" s="1089">
        <v>60.151000000000003</v>
      </c>
      <c r="H19" s="1177">
        <v>2008.37</v>
      </c>
      <c r="I19" s="1087">
        <v>9209</v>
      </c>
      <c r="J19" s="1089">
        <v>25.042000000000002</v>
      </c>
      <c r="K19" s="1177">
        <v>2719.27</v>
      </c>
      <c r="L19" s="1087" t="s">
        <v>1384</v>
      </c>
      <c r="M19" s="1089" t="s">
        <v>1384</v>
      </c>
      <c r="N19" s="1177" t="s">
        <v>1384</v>
      </c>
      <c r="O19" s="1087" t="s">
        <v>1384</v>
      </c>
      <c r="P19" s="1089" t="s">
        <v>1384</v>
      </c>
      <c r="Q19" s="1177" t="s">
        <v>1384</v>
      </c>
      <c r="R19" s="788">
        <v>14</v>
      </c>
      <c r="S19" s="702" t="s">
        <v>1270</v>
      </c>
      <c r="T19" s="1087">
        <v>37</v>
      </c>
      <c r="U19" s="1089">
        <v>0.501</v>
      </c>
      <c r="V19" s="1453">
        <v>13.54</v>
      </c>
      <c r="W19" s="1087" t="s">
        <v>1384</v>
      </c>
      <c r="X19" s="1089" t="s">
        <v>1384</v>
      </c>
      <c r="Y19" s="1177" t="s">
        <v>1384</v>
      </c>
      <c r="Z19" s="1087">
        <v>38</v>
      </c>
      <c r="AA19" s="1089">
        <v>8.0000000000000002E-3</v>
      </c>
      <c r="AB19" s="1177">
        <v>200.61</v>
      </c>
      <c r="AC19" s="1087" t="s">
        <v>1384</v>
      </c>
      <c r="AD19" s="1089" t="s">
        <v>1384</v>
      </c>
      <c r="AE19" s="1177" t="s">
        <v>1384</v>
      </c>
      <c r="AF19" s="1087" t="s">
        <v>1384</v>
      </c>
      <c r="AG19" s="1089" t="s">
        <v>1384</v>
      </c>
      <c r="AH19" s="1177" t="s">
        <v>1384</v>
      </c>
      <c r="AI19" s="788">
        <v>14</v>
      </c>
      <c r="AJ19" s="702" t="s">
        <v>1270</v>
      </c>
      <c r="AK19" s="1087">
        <v>19</v>
      </c>
      <c r="AL19" s="1089">
        <v>1.7999999999999999E-2</v>
      </c>
      <c r="AM19" s="1177">
        <v>972.07</v>
      </c>
      <c r="AN19" s="1087" t="s">
        <v>1384</v>
      </c>
      <c r="AO19" s="1089" t="s">
        <v>1384</v>
      </c>
      <c r="AP19" s="1177" t="s">
        <v>1384</v>
      </c>
      <c r="AQ19" s="1088">
        <v>36</v>
      </c>
      <c r="AR19" s="1089">
        <v>1.0660000000000001</v>
      </c>
      <c r="AS19" s="1088">
        <v>29618</v>
      </c>
      <c r="AT19" s="1087" t="s">
        <v>1384</v>
      </c>
      <c r="AU19" s="1089" t="s">
        <v>1384</v>
      </c>
      <c r="AV19" s="1177" t="s">
        <v>1384</v>
      </c>
    </row>
    <row r="20" spans="1:48" ht="16.5" customHeight="1">
      <c r="A20" s="788">
        <v>15</v>
      </c>
      <c r="B20" s="1085" t="s">
        <v>1412</v>
      </c>
      <c r="C20" s="1087">
        <v>476</v>
      </c>
      <c r="D20" s="1089">
        <v>0.33200000000000002</v>
      </c>
      <c r="E20" s="1088">
        <v>697.66</v>
      </c>
      <c r="F20" s="1087">
        <v>10275</v>
      </c>
      <c r="G20" s="1089">
        <v>9.7829999999999995</v>
      </c>
      <c r="H20" s="1177">
        <v>952.07</v>
      </c>
      <c r="I20" s="1087">
        <v>11946</v>
      </c>
      <c r="J20" s="1089">
        <v>33.686</v>
      </c>
      <c r="K20" s="1177">
        <v>2819.89</v>
      </c>
      <c r="L20" s="1087" t="s">
        <v>1384</v>
      </c>
      <c r="M20" s="1089" t="s">
        <v>1384</v>
      </c>
      <c r="N20" s="1177" t="s">
        <v>1384</v>
      </c>
      <c r="O20" s="1087" t="s">
        <v>1384</v>
      </c>
      <c r="P20" s="1089" t="s">
        <v>1384</v>
      </c>
      <c r="Q20" s="1177" t="s">
        <v>1384</v>
      </c>
      <c r="R20" s="788">
        <v>15</v>
      </c>
      <c r="S20" s="1090" t="s">
        <v>1412</v>
      </c>
      <c r="T20" s="1087">
        <v>1</v>
      </c>
      <c r="U20" s="1089">
        <v>1.4E-2</v>
      </c>
      <c r="V20" s="1453">
        <v>13.54</v>
      </c>
      <c r="W20" s="1087" t="s">
        <v>1384</v>
      </c>
      <c r="X20" s="1089" t="s">
        <v>1384</v>
      </c>
      <c r="Y20" s="1177" t="s">
        <v>1384</v>
      </c>
      <c r="Z20" s="1087" t="s">
        <v>1384</v>
      </c>
      <c r="AA20" s="1089" t="s">
        <v>1384</v>
      </c>
      <c r="AB20" s="1177" t="s">
        <v>1384</v>
      </c>
      <c r="AC20" s="1087" t="s">
        <v>1384</v>
      </c>
      <c r="AD20" s="1089" t="s">
        <v>1384</v>
      </c>
      <c r="AE20" s="1177" t="s">
        <v>1384</v>
      </c>
      <c r="AF20" s="1087" t="s">
        <v>1384</v>
      </c>
      <c r="AG20" s="1089" t="s">
        <v>1384</v>
      </c>
      <c r="AH20" s="1177" t="s">
        <v>1384</v>
      </c>
      <c r="AI20" s="788">
        <v>15</v>
      </c>
      <c r="AJ20" s="1090" t="s">
        <v>1412</v>
      </c>
      <c r="AK20" s="1087">
        <v>7</v>
      </c>
      <c r="AL20" s="1089">
        <v>7.0000000000000001E-3</v>
      </c>
      <c r="AM20" s="1177">
        <v>974.42</v>
      </c>
      <c r="AN20" s="1087" t="s">
        <v>1384</v>
      </c>
      <c r="AO20" s="1089" t="s">
        <v>1384</v>
      </c>
      <c r="AP20" s="1177" t="s">
        <v>1384</v>
      </c>
      <c r="AQ20" s="1088">
        <v>85</v>
      </c>
      <c r="AR20" s="1089">
        <v>1.2210000000000001</v>
      </c>
      <c r="AS20" s="1088">
        <v>14366</v>
      </c>
      <c r="AT20" s="1087" t="s">
        <v>1384</v>
      </c>
      <c r="AU20" s="1089" t="s">
        <v>1384</v>
      </c>
      <c r="AV20" s="1177" t="s">
        <v>1384</v>
      </c>
    </row>
    <row r="21" spans="1:48" ht="16.5" customHeight="1">
      <c r="A21" s="788">
        <v>16</v>
      </c>
      <c r="B21" s="681" t="s">
        <v>1413</v>
      </c>
      <c r="C21" s="1087" t="s">
        <v>1384</v>
      </c>
      <c r="D21" s="1089" t="s">
        <v>1384</v>
      </c>
      <c r="E21" s="1088" t="s">
        <v>1384</v>
      </c>
      <c r="F21" s="1087">
        <v>16715</v>
      </c>
      <c r="G21" s="1089">
        <v>22.289000000000001</v>
      </c>
      <c r="H21" s="1177">
        <v>1333.45</v>
      </c>
      <c r="I21" s="1087">
        <v>10480</v>
      </c>
      <c r="J21" s="1089">
        <v>33.622999999999998</v>
      </c>
      <c r="K21" s="1177">
        <v>3208.28</v>
      </c>
      <c r="L21" s="1087" t="s">
        <v>1384</v>
      </c>
      <c r="M21" s="1089" t="s">
        <v>1384</v>
      </c>
      <c r="N21" s="1177" t="s">
        <v>1384</v>
      </c>
      <c r="O21" s="1087" t="s">
        <v>1384</v>
      </c>
      <c r="P21" s="1089" t="s">
        <v>1384</v>
      </c>
      <c r="Q21" s="1177" t="s">
        <v>1384</v>
      </c>
      <c r="R21" s="788">
        <v>16</v>
      </c>
      <c r="S21" s="702" t="s">
        <v>1413</v>
      </c>
      <c r="T21" s="1087" t="s">
        <v>1384</v>
      </c>
      <c r="U21" s="1089" t="s">
        <v>1384</v>
      </c>
      <c r="V21" s="1453" t="s">
        <v>1384</v>
      </c>
      <c r="W21" s="1087" t="s">
        <v>1384</v>
      </c>
      <c r="X21" s="1089" t="s">
        <v>1384</v>
      </c>
      <c r="Y21" s="1177" t="s">
        <v>1384</v>
      </c>
      <c r="Z21" s="1087">
        <v>14</v>
      </c>
      <c r="AA21" s="1089">
        <v>3.0000000000000001E-3</v>
      </c>
      <c r="AB21" s="1177">
        <v>200.61</v>
      </c>
      <c r="AC21" s="1087" t="s">
        <v>1384</v>
      </c>
      <c r="AD21" s="1089" t="s">
        <v>1384</v>
      </c>
      <c r="AE21" s="1177" t="s">
        <v>1384</v>
      </c>
      <c r="AF21" s="1087" t="s">
        <v>1384</v>
      </c>
      <c r="AG21" s="1089" t="s">
        <v>1384</v>
      </c>
      <c r="AH21" s="1177" t="s">
        <v>1384</v>
      </c>
      <c r="AI21" s="788">
        <v>16</v>
      </c>
      <c r="AJ21" s="702" t="s">
        <v>1413</v>
      </c>
      <c r="AK21" s="1087">
        <v>59</v>
      </c>
      <c r="AL21" s="1089">
        <v>5.7000000000000002E-2</v>
      </c>
      <c r="AM21" s="1084">
        <v>972.07</v>
      </c>
      <c r="AN21" s="1087" t="s">
        <v>1384</v>
      </c>
      <c r="AO21" s="1089" t="s">
        <v>1384</v>
      </c>
      <c r="AP21" s="1177" t="s">
        <v>1384</v>
      </c>
      <c r="AQ21" s="1088" t="s">
        <v>1384</v>
      </c>
      <c r="AR21" s="1089" t="s">
        <v>1384</v>
      </c>
      <c r="AS21" s="1088" t="s">
        <v>1384</v>
      </c>
      <c r="AT21" s="1087" t="s">
        <v>1384</v>
      </c>
      <c r="AU21" s="1089" t="s">
        <v>1384</v>
      </c>
      <c r="AV21" s="1177" t="s">
        <v>1384</v>
      </c>
    </row>
    <row r="22" spans="1:48" ht="16.5" customHeight="1">
      <c r="A22" s="788">
        <v>17</v>
      </c>
      <c r="B22" s="681" t="s">
        <v>1414</v>
      </c>
      <c r="C22" s="1087" t="s">
        <v>1384</v>
      </c>
      <c r="D22" s="1089" t="s">
        <v>1384</v>
      </c>
      <c r="E22" s="1088" t="s">
        <v>1384</v>
      </c>
      <c r="F22" s="1087">
        <v>29728</v>
      </c>
      <c r="G22" s="1089">
        <v>79.674999999999997</v>
      </c>
      <c r="H22" s="1177">
        <v>2680.13</v>
      </c>
      <c r="I22" s="1087">
        <v>4759</v>
      </c>
      <c r="J22" s="1089">
        <v>19.047999999999998</v>
      </c>
      <c r="K22" s="1177">
        <v>4002.45</v>
      </c>
      <c r="L22" s="1087" t="s">
        <v>1384</v>
      </c>
      <c r="M22" s="1089" t="s">
        <v>1384</v>
      </c>
      <c r="N22" s="1177" t="s">
        <v>1384</v>
      </c>
      <c r="O22" s="1087" t="s">
        <v>1384</v>
      </c>
      <c r="P22" s="1089" t="s">
        <v>1384</v>
      </c>
      <c r="Q22" s="1177" t="s">
        <v>1384</v>
      </c>
      <c r="R22" s="788">
        <v>17</v>
      </c>
      <c r="S22" s="702" t="s">
        <v>1414</v>
      </c>
      <c r="T22" s="1087" t="s">
        <v>1384</v>
      </c>
      <c r="U22" s="1089" t="s">
        <v>1384</v>
      </c>
      <c r="V22" s="1453" t="s">
        <v>1384</v>
      </c>
      <c r="W22" s="1087" t="s">
        <v>1384</v>
      </c>
      <c r="X22" s="1089" t="s">
        <v>1384</v>
      </c>
      <c r="Y22" s="1177" t="s">
        <v>1384</v>
      </c>
      <c r="Z22" s="1087" t="s">
        <v>1384</v>
      </c>
      <c r="AA22" s="1089" t="s">
        <v>1384</v>
      </c>
      <c r="AB22" s="1177" t="s">
        <v>1384</v>
      </c>
      <c r="AC22" s="1087" t="s">
        <v>1384</v>
      </c>
      <c r="AD22" s="1089" t="s">
        <v>1384</v>
      </c>
      <c r="AE22" s="1177" t="s">
        <v>1384</v>
      </c>
      <c r="AF22" s="1087" t="s">
        <v>1384</v>
      </c>
      <c r="AG22" s="1089" t="s">
        <v>1384</v>
      </c>
      <c r="AH22" s="1177" t="s">
        <v>1384</v>
      </c>
      <c r="AI22" s="788">
        <v>17</v>
      </c>
      <c r="AJ22" s="702" t="s">
        <v>1414</v>
      </c>
      <c r="AK22" s="1087">
        <v>9</v>
      </c>
      <c r="AL22" s="1089">
        <v>8.9999999999999993E-3</v>
      </c>
      <c r="AM22" s="1177">
        <v>972.07</v>
      </c>
      <c r="AN22" s="1087" t="s">
        <v>1384</v>
      </c>
      <c r="AO22" s="1089" t="s">
        <v>1384</v>
      </c>
      <c r="AP22" s="1177" t="s">
        <v>1384</v>
      </c>
      <c r="AQ22" s="1088">
        <v>48</v>
      </c>
      <c r="AR22" s="1089">
        <v>1.3859999999999999</v>
      </c>
      <c r="AS22" s="1088">
        <v>28875</v>
      </c>
      <c r="AT22" s="1087" t="s">
        <v>1384</v>
      </c>
      <c r="AU22" s="1089" t="s">
        <v>1384</v>
      </c>
      <c r="AV22" s="1177" t="s">
        <v>1384</v>
      </c>
    </row>
    <row r="23" spans="1:48" ht="16.5" customHeight="1">
      <c r="A23" s="788">
        <v>18</v>
      </c>
      <c r="B23" s="681" t="s">
        <v>1419</v>
      </c>
      <c r="C23" s="1087" t="s">
        <v>1384</v>
      </c>
      <c r="D23" s="1089" t="s">
        <v>1384</v>
      </c>
      <c r="E23" s="1088" t="s">
        <v>1384</v>
      </c>
      <c r="F23" s="1087">
        <v>8756</v>
      </c>
      <c r="G23" s="1089">
        <v>14.253</v>
      </c>
      <c r="H23" s="1177">
        <v>1627.75</v>
      </c>
      <c r="I23" s="1087">
        <v>1088</v>
      </c>
      <c r="J23" s="1089">
        <v>3.0609999999999999</v>
      </c>
      <c r="K23" s="1177">
        <v>2813.25</v>
      </c>
      <c r="L23" s="1087" t="s">
        <v>1384</v>
      </c>
      <c r="M23" s="1089" t="s">
        <v>1384</v>
      </c>
      <c r="N23" s="1177" t="s">
        <v>1384</v>
      </c>
      <c r="O23" s="1087" t="s">
        <v>1384</v>
      </c>
      <c r="P23" s="1089" t="s">
        <v>1384</v>
      </c>
      <c r="Q23" s="1177" t="s">
        <v>1384</v>
      </c>
      <c r="R23" s="788">
        <v>18</v>
      </c>
      <c r="S23" s="702" t="s">
        <v>1419</v>
      </c>
      <c r="T23" s="1087">
        <v>24</v>
      </c>
      <c r="U23" s="1089">
        <v>0.32500000000000001</v>
      </c>
      <c r="V23" s="1453">
        <v>13.54</v>
      </c>
      <c r="W23" s="1087">
        <v>10</v>
      </c>
      <c r="X23" s="1089">
        <v>6.0000000000000001E-3</v>
      </c>
      <c r="Y23" s="1177">
        <v>576.04999999999995</v>
      </c>
      <c r="Z23" s="1087" t="s">
        <v>1384</v>
      </c>
      <c r="AA23" s="1089" t="s">
        <v>1384</v>
      </c>
      <c r="AB23" s="1177" t="s">
        <v>1384</v>
      </c>
      <c r="AC23" s="1087">
        <v>64</v>
      </c>
      <c r="AD23" s="1089">
        <v>3.7999999999999999E-2</v>
      </c>
      <c r="AE23" s="1177">
        <v>592.46</v>
      </c>
      <c r="AF23" s="1087" t="s">
        <v>1384</v>
      </c>
      <c r="AG23" s="1089" t="s">
        <v>1384</v>
      </c>
      <c r="AH23" s="1177" t="s">
        <v>1384</v>
      </c>
      <c r="AI23" s="788">
        <v>18</v>
      </c>
      <c r="AJ23" s="702" t="s">
        <v>1419</v>
      </c>
      <c r="AK23" s="1087">
        <v>20</v>
      </c>
      <c r="AL23" s="1089">
        <v>1.2999999999999999E-2</v>
      </c>
      <c r="AM23" s="1177">
        <v>630.04999999999995</v>
      </c>
      <c r="AN23" s="1087" t="s">
        <v>1384</v>
      </c>
      <c r="AO23" s="1089" t="s">
        <v>1384</v>
      </c>
      <c r="AP23" s="1177" t="s">
        <v>1384</v>
      </c>
      <c r="AQ23" s="1088">
        <v>238</v>
      </c>
      <c r="AR23" s="1089">
        <v>5.5990000000000002</v>
      </c>
      <c r="AS23" s="1088">
        <v>23526</v>
      </c>
      <c r="AT23" s="1087" t="s">
        <v>1384</v>
      </c>
      <c r="AU23" s="1089" t="s">
        <v>1384</v>
      </c>
      <c r="AV23" s="1177" t="s">
        <v>1384</v>
      </c>
    </row>
    <row r="24" spans="1:48" ht="16.5" customHeight="1">
      <c r="A24" s="788">
        <v>19</v>
      </c>
      <c r="B24" s="681" t="s">
        <v>1420</v>
      </c>
      <c r="C24" s="1087" t="s">
        <v>1384</v>
      </c>
      <c r="D24" s="1089" t="s">
        <v>1384</v>
      </c>
      <c r="E24" s="1088" t="s">
        <v>1384</v>
      </c>
      <c r="F24" s="1087">
        <v>8478</v>
      </c>
      <c r="G24" s="1089">
        <v>10.997999999999999</v>
      </c>
      <c r="H24" s="1177">
        <v>1297.19</v>
      </c>
      <c r="I24" s="1087">
        <v>1020</v>
      </c>
      <c r="J24" s="1089">
        <v>3.4159999999999999</v>
      </c>
      <c r="K24" s="1177">
        <v>3349.25</v>
      </c>
      <c r="L24" s="1087" t="s">
        <v>1384</v>
      </c>
      <c r="M24" s="1089" t="s">
        <v>1384</v>
      </c>
      <c r="N24" s="1177" t="s">
        <v>1384</v>
      </c>
      <c r="O24" s="1087" t="s">
        <v>1384</v>
      </c>
      <c r="P24" s="1089" t="s">
        <v>1384</v>
      </c>
      <c r="Q24" s="1177" t="s">
        <v>1384</v>
      </c>
      <c r="R24" s="788">
        <v>19</v>
      </c>
      <c r="S24" s="702" t="s">
        <v>1420</v>
      </c>
      <c r="T24" s="1087" t="s">
        <v>1384</v>
      </c>
      <c r="U24" s="1089" t="s">
        <v>1384</v>
      </c>
      <c r="V24" s="1453"/>
      <c r="W24" s="1087" t="s">
        <v>1384</v>
      </c>
      <c r="X24" s="1089" t="s">
        <v>1384</v>
      </c>
      <c r="Y24" s="1177" t="s">
        <v>1384</v>
      </c>
      <c r="Z24" s="1087" t="s">
        <v>1384</v>
      </c>
      <c r="AA24" s="1089" t="s">
        <v>1384</v>
      </c>
      <c r="AB24" s="1177" t="s">
        <v>1384</v>
      </c>
      <c r="AC24" s="1087">
        <v>97</v>
      </c>
      <c r="AD24" s="1089">
        <v>7.0999999999999994E-2</v>
      </c>
      <c r="AE24" s="1177">
        <v>733.58</v>
      </c>
      <c r="AF24" s="1087" t="s">
        <v>1384</v>
      </c>
      <c r="AG24" s="1089" t="s">
        <v>1384</v>
      </c>
      <c r="AH24" s="1177" t="s">
        <v>1384</v>
      </c>
      <c r="AI24" s="788">
        <v>19</v>
      </c>
      <c r="AJ24" s="702" t="s">
        <v>1420</v>
      </c>
      <c r="AK24" s="1087">
        <v>67</v>
      </c>
      <c r="AL24" s="1089">
        <v>4.5999999999999999E-2</v>
      </c>
      <c r="AM24" s="1177">
        <v>684.95</v>
      </c>
      <c r="AN24" s="1087" t="s">
        <v>1384</v>
      </c>
      <c r="AO24" s="1089" t="s">
        <v>1384</v>
      </c>
      <c r="AP24" s="1177" t="s">
        <v>1384</v>
      </c>
      <c r="AQ24" s="1088">
        <v>374</v>
      </c>
      <c r="AR24" s="1089">
        <v>10.472</v>
      </c>
      <c r="AS24" s="1088">
        <v>28000</v>
      </c>
      <c r="AT24" s="1087" t="s">
        <v>1384</v>
      </c>
      <c r="AU24" s="1089" t="s">
        <v>1384</v>
      </c>
      <c r="AV24" s="1177" t="s">
        <v>1384</v>
      </c>
    </row>
    <row r="25" spans="1:48" ht="16.5" customHeight="1">
      <c r="A25" s="788">
        <v>20</v>
      </c>
      <c r="B25" s="681" t="s">
        <v>1422</v>
      </c>
      <c r="C25" s="1087" t="s">
        <v>1384</v>
      </c>
      <c r="D25" s="1089" t="s">
        <v>1384</v>
      </c>
      <c r="E25" s="1777" t="s">
        <v>1384</v>
      </c>
      <c r="F25" s="1087">
        <v>2715</v>
      </c>
      <c r="G25" s="1089">
        <v>1.5289999999999999</v>
      </c>
      <c r="H25" s="1177">
        <v>563.23</v>
      </c>
      <c r="I25" s="1087">
        <v>11121</v>
      </c>
      <c r="J25" s="1089">
        <v>30.585999999999999</v>
      </c>
      <c r="K25" s="1088">
        <v>2750.27</v>
      </c>
      <c r="L25" s="1087" t="s">
        <v>1384</v>
      </c>
      <c r="M25" s="1089" t="s">
        <v>1384</v>
      </c>
      <c r="N25" s="1177" t="s">
        <v>1384</v>
      </c>
      <c r="O25" s="1087" t="s">
        <v>1384</v>
      </c>
      <c r="P25" s="1089" t="s">
        <v>1384</v>
      </c>
      <c r="Q25" s="1177" t="s">
        <v>1384</v>
      </c>
      <c r="R25" s="788">
        <v>20</v>
      </c>
      <c r="S25" s="702" t="s">
        <v>1422</v>
      </c>
      <c r="T25" s="1087">
        <v>53</v>
      </c>
      <c r="U25" s="1089">
        <v>0.71799999999999997</v>
      </c>
      <c r="V25" s="1453">
        <v>13.54</v>
      </c>
      <c r="W25" s="1087" t="s">
        <v>1384</v>
      </c>
      <c r="X25" s="1089" t="s">
        <v>1384</v>
      </c>
      <c r="Y25" s="1177" t="s">
        <v>1384</v>
      </c>
      <c r="Z25" s="1087">
        <v>292</v>
      </c>
      <c r="AA25" s="1089">
        <v>5.8999999999999997E-2</v>
      </c>
      <c r="AB25" s="1177">
        <v>200.61</v>
      </c>
      <c r="AC25" s="1087">
        <v>143</v>
      </c>
      <c r="AD25" s="1089">
        <v>0.105</v>
      </c>
      <c r="AE25" s="1177">
        <v>733.58</v>
      </c>
      <c r="AF25" s="1087" t="s">
        <v>1384</v>
      </c>
      <c r="AG25" s="1089" t="s">
        <v>1384</v>
      </c>
      <c r="AH25" s="1177" t="s">
        <v>1384</v>
      </c>
      <c r="AI25" s="788">
        <v>20</v>
      </c>
      <c r="AJ25" s="702" t="s">
        <v>1422</v>
      </c>
      <c r="AK25" s="1087">
        <v>139</v>
      </c>
      <c r="AL25" s="1089">
        <v>0.115</v>
      </c>
      <c r="AM25" s="1177">
        <v>825.92</v>
      </c>
      <c r="AN25" s="1087" t="s">
        <v>1384</v>
      </c>
      <c r="AO25" s="1089" t="s">
        <v>1384</v>
      </c>
      <c r="AP25" s="1177" t="s">
        <v>1384</v>
      </c>
      <c r="AQ25" s="1088">
        <v>70</v>
      </c>
      <c r="AR25" s="1089">
        <v>1.2310000000000001</v>
      </c>
      <c r="AS25" s="1088">
        <v>17592</v>
      </c>
      <c r="AT25" s="1087" t="s">
        <v>1384</v>
      </c>
      <c r="AU25" s="1089" t="s">
        <v>1384</v>
      </c>
      <c r="AV25" s="1177" t="s">
        <v>1384</v>
      </c>
    </row>
    <row r="26" spans="1:48" ht="16.5" customHeight="1">
      <c r="A26" s="788">
        <v>21</v>
      </c>
      <c r="B26" s="681" t="s">
        <v>1423</v>
      </c>
      <c r="C26" s="1087" t="s">
        <v>1384</v>
      </c>
      <c r="D26" s="1089" t="s">
        <v>1384</v>
      </c>
      <c r="E26" s="1088" t="s">
        <v>1384</v>
      </c>
      <c r="F26" s="1087">
        <v>2018</v>
      </c>
      <c r="G26" s="1089">
        <v>1.528</v>
      </c>
      <c r="H26" s="1177">
        <v>757.13</v>
      </c>
      <c r="I26" s="1087">
        <v>5944</v>
      </c>
      <c r="J26" s="1089">
        <v>20.530999999999999</v>
      </c>
      <c r="K26" s="1177">
        <v>3454.14</v>
      </c>
      <c r="L26" s="1087" t="s">
        <v>1384</v>
      </c>
      <c r="M26" s="1089" t="s">
        <v>1384</v>
      </c>
      <c r="N26" s="1177" t="s">
        <v>1384</v>
      </c>
      <c r="O26" s="1087" t="s">
        <v>1384</v>
      </c>
      <c r="P26" s="1089" t="s">
        <v>1384</v>
      </c>
      <c r="Q26" s="1177" t="s">
        <v>1384</v>
      </c>
      <c r="R26" s="788">
        <v>21</v>
      </c>
      <c r="S26" s="702" t="s">
        <v>1423</v>
      </c>
      <c r="T26" s="1087" t="s">
        <v>1384</v>
      </c>
      <c r="U26" s="1089" t="s">
        <v>1384</v>
      </c>
      <c r="V26" s="1453" t="s">
        <v>1384</v>
      </c>
      <c r="W26" s="1087" t="s">
        <v>1384</v>
      </c>
      <c r="X26" s="1089" t="s">
        <v>1384</v>
      </c>
      <c r="Y26" s="1177" t="s">
        <v>1384</v>
      </c>
      <c r="Z26" s="1087" t="s">
        <v>1384</v>
      </c>
      <c r="AA26" s="1089" t="s">
        <v>1384</v>
      </c>
      <c r="AB26" s="1177" t="s">
        <v>1384</v>
      </c>
      <c r="AC26" s="1087" t="s">
        <v>1384</v>
      </c>
      <c r="AD26" s="1089" t="s">
        <v>1384</v>
      </c>
      <c r="AE26" s="1177" t="s">
        <v>1384</v>
      </c>
      <c r="AF26" s="1087" t="s">
        <v>1384</v>
      </c>
      <c r="AG26" s="1089" t="s">
        <v>1384</v>
      </c>
      <c r="AH26" s="1177" t="s">
        <v>1384</v>
      </c>
      <c r="AI26" s="788">
        <v>21</v>
      </c>
      <c r="AJ26" s="702" t="s">
        <v>1423</v>
      </c>
      <c r="AK26" s="1087" t="s">
        <v>1384</v>
      </c>
      <c r="AL26" s="1089" t="s">
        <v>1384</v>
      </c>
      <c r="AM26" s="1177" t="s">
        <v>1384</v>
      </c>
      <c r="AN26" s="1087" t="s">
        <v>1384</v>
      </c>
      <c r="AO26" s="1089" t="s">
        <v>1384</v>
      </c>
      <c r="AP26" s="1177" t="s">
        <v>1384</v>
      </c>
      <c r="AQ26" s="1088" t="s">
        <v>1384</v>
      </c>
      <c r="AR26" s="1089" t="s">
        <v>1384</v>
      </c>
      <c r="AS26" s="1088" t="s">
        <v>1384</v>
      </c>
      <c r="AT26" s="1087" t="s">
        <v>1384</v>
      </c>
      <c r="AU26" s="1089" t="s">
        <v>1384</v>
      </c>
      <c r="AV26" s="1177" t="s">
        <v>1384</v>
      </c>
    </row>
    <row r="27" spans="1:48" ht="16.5" customHeight="1">
      <c r="A27" s="788">
        <v>22</v>
      </c>
      <c r="B27" s="681" t="s">
        <v>1425</v>
      </c>
      <c r="C27" s="1087" t="s">
        <v>1384</v>
      </c>
      <c r="D27" s="1089" t="s">
        <v>1384</v>
      </c>
      <c r="E27" s="1088" t="s">
        <v>1384</v>
      </c>
      <c r="F27" s="1087">
        <v>9622</v>
      </c>
      <c r="G27" s="1089">
        <v>11.648</v>
      </c>
      <c r="H27" s="1177">
        <v>1210.6099999999999</v>
      </c>
      <c r="I27" s="1087">
        <v>7919</v>
      </c>
      <c r="J27" s="1089">
        <v>29.170999999999999</v>
      </c>
      <c r="K27" s="1177">
        <v>3683.66</v>
      </c>
      <c r="L27" s="1087" t="s">
        <v>1384</v>
      </c>
      <c r="M27" s="1089" t="s">
        <v>1384</v>
      </c>
      <c r="N27" s="1177" t="s">
        <v>1384</v>
      </c>
      <c r="O27" s="1087" t="s">
        <v>1384</v>
      </c>
      <c r="P27" s="1089" t="s">
        <v>1384</v>
      </c>
      <c r="Q27" s="1177" t="s">
        <v>1384</v>
      </c>
      <c r="R27" s="788">
        <v>22</v>
      </c>
      <c r="S27" s="702" t="s">
        <v>1425</v>
      </c>
      <c r="T27" s="1087" t="s">
        <v>1384</v>
      </c>
      <c r="U27" s="1089" t="s">
        <v>1384</v>
      </c>
      <c r="V27" s="1453" t="s">
        <v>1384</v>
      </c>
      <c r="W27" s="1087" t="s">
        <v>1384</v>
      </c>
      <c r="X27" s="1089" t="s">
        <v>1384</v>
      </c>
      <c r="Y27" s="1177" t="s">
        <v>1384</v>
      </c>
      <c r="Z27" s="1087" t="s">
        <v>1384</v>
      </c>
      <c r="AA27" s="1089" t="s">
        <v>1384</v>
      </c>
      <c r="AB27" s="1177" t="s">
        <v>1384</v>
      </c>
      <c r="AC27" s="1087" t="s">
        <v>1384</v>
      </c>
      <c r="AD27" s="1089" t="s">
        <v>1384</v>
      </c>
      <c r="AE27" s="1177" t="s">
        <v>1384</v>
      </c>
      <c r="AF27" s="1087" t="s">
        <v>1384</v>
      </c>
      <c r="AG27" s="1089" t="s">
        <v>1384</v>
      </c>
      <c r="AH27" s="1177" t="s">
        <v>1384</v>
      </c>
      <c r="AI27" s="788">
        <v>22</v>
      </c>
      <c r="AJ27" s="702" t="s">
        <v>1425</v>
      </c>
      <c r="AK27" s="1087" t="s">
        <v>1384</v>
      </c>
      <c r="AL27" s="1089" t="s">
        <v>1384</v>
      </c>
      <c r="AM27" s="1177" t="s">
        <v>1384</v>
      </c>
      <c r="AN27" s="1087" t="s">
        <v>1384</v>
      </c>
      <c r="AO27" s="1089" t="s">
        <v>1384</v>
      </c>
      <c r="AP27" s="1177" t="s">
        <v>1384</v>
      </c>
      <c r="AQ27" s="1088" t="s">
        <v>1384</v>
      </c>
      <c r="AR27" s="1089" t="s">
        <v>1384</v>
      </c>
      <c r="AS27" s="1088" t="s">
        <v>1384</v>
      </c>
      <c r="AT27" s="1087" t="s">
        <v>1384</v>
      </c>
      <c r="AU27" s="1089" t="s">
        <v>1384</v>
      </c>
      <c r="AV27" s="1177" t="s">
        <v>1384</v>
      </c>
    </row>
    <row r="28" spans="1:48" ht="16.5" customHeight="1">
      <c r="A28" s="788">
        <v>23</v>
      </c>
      <c r="B28" s="681" t="s">
        <v>1426</v>
      </c>
      <c r="C28" s="1087" t="s">
        <v>1384</v>
      </c>
      <c r="D28" s="1089" t="s">
        <v>1384</v>
      </c>
      <c r="E28" s="1088" t="s">
        <v>1384</v>
      </c>
      <c r="F28" s="1087">
        <v>10836</v>
      </c>
      <c r="G28" s="1089">
        <v>14.563000000000001</v>
      </c>
      <c r="H28" s="1177">
        <v>1343.97</v>
      </c>
      <c r="I28" s="1087">
        <v>1071</v>
      </c>
      <c r="J28" s="1089">
        <v>3.5270000000000001</v>
      </c>
      <c r="K28" s="1177">
        <v>3293.45</v>
      </c>
      <c r="L28" s="1087" t="s">
        <v>1384</v>
      </c>
      <c r="M28" s="1089" t="s">
        <v>1384</v>
      </c>
      <c r="N28" s="1177" t="s">
        <v>1384</v>
      </c>
      <c r="O28" s="1087" t="s">
        <v>1384</v>
      </c>
      <c r="P28" s="1089" t="s">
        <v>1384</v>
      </c>
      <c r="Q28" s="1177" t="s">
        <v>1384</v>
      </c>
      <c r="R28" s="788">
        <v>23</v>
      </c>
      <c r="S28" s="702" t="s">
        <v>1426</v>
      </c>
      <c r="T28" s="1087" t="s">
        <v>1384</v>
      </c>
      <c r="U28" s="1089" t="s">
        <v>1384</v>
      </c>
      <c r="V28" s="1453" t="s">
        <v>1384</v>
      </c>
      <c r="W28" s="1087" t="s">
        <v>1384</v>
      </c>
      <c r="X28" s="1089" t="s">
        <v>1384</v>
      </c>
      <c r="Y28" s="1177" t="s">
        <v>1384</v>
      </c>
      <c r="Z28" s="1087" t="s">
        <v>1384</v>
      </c>
      <c r="AA28" s="1089" t="s">
        <v>1384</v>
      </c>
      <c r="AB28" s="1177" t="s">
        <v>1384</v>
      </c>
      <c r="AC28" s="1087" t="s">
        <v>1384</v>
      </c>
      <c r="AD28" s="1089" t="s">
        <v>1384</v>
      </c>
      <c r="AE28" s="1177" t="s">
        <v>1384</v>
      </c>
      <c r="AF28" s="1087" t="s">
        <v>1384</v>
      </c>
      <c r="AG28" s="1089" t="s">
        <v>1384</v>
      </c>
      <c r="AH28" s="1177" t="s">
        <v>1384</v>
      </c>
      <c r="AI28" s="788">
        <v>23</v>
      </c>
      <c r="AJ28" s="702" t="s">
        <v>1426</v>
      </c>
      <c r="AK28" s="1087">
        <v>7</v>
      </c>
      <c r="AL28" s="1089">
        <v>5.0000000000000001E-3</v>
      </c>
      <c r="AM28" s="1177">
        <v>684.95</v>
      </c>
      <c r="AN28" s="1087" t="s">
        <v>1384</v>
      </c>
      <c r="AO28" s="1089" t="s">
        <v>1384</v>
      </c>
      <c r="AP28" s="1177" t="s">
        <v>1384</v>
      </c>
      <c r="AQ28" s="1088">
        <v>135</v>
      </c>
      <c r="AR28" s="1089">
        <v>4.298</v>
      </c>
      <c r="AS28" s="1088">
        <v>31838</v>
      </c>
      <c r="AT28" s="1087" t="s">
        <v>1384</v>
      </c>
      <c r="AU28" s="1089" t="s">
        <v>1384</v>
      </c>
      <c r="AV28" s="1177" t="s">
        <v>1384</v>
      </c>
    </row>
    <row r="29" spans="1:48" ht="16.5" customHeight="1">
      <c r="A29" s="788">
        <v>24</v>
      </c>
      <c r="B29" s="944" t="s">
        <v>1570</v>
      </c>
      <c r="C29" s="1087" t="s">
        <v>1384</v>
      </c>
      <c r="D29" s="1089" t="s">
        <v>1384</v>
      </c>
      <c r="E29" s="1088" t="s">
        <v>1384</v>
      </c>
      <c r="F29" s="1087">
        <v>12867</v>
      </c>
      <c r="G29" s="1089">
        <v>15.788</v>
      </c>
      <c r="H29" s="1177">
        <v>1227.04</v>
      </c>
      <c r="I29" s="1087">
        <v>1796</v>
      </c>
      <c r="J29" s="1089">
        <v>6.1950000000000003</v>
      </c>
      <c r="K29" s="1177">
        <v>3449.22</v>
      </c>
      <c r="L29" s="1087" t="s">
        <v>1384</v>
      </c>
      <c r="M29" s="1089" t="s">
        <v>1384</v>
      </c>
      <c r="N29" s="1177" t="s">
        <v>1384</v>
      </c>
      <c r="O29" s="1087" t="s">
        <v>1384</v>
      </c>
      <c r="P29" s="1089" t="s">
        <v>1384</v>
      </c>
      <c r="Q29" s="1177" t="s">
        <v>1384</v>
      </c>
      <c r="R29" s="788">
        <v>24</v>
      </c>
      <c r="S29" s="1091" t="s">
        <v>1570</v>
      </c>
      <c r="T29" s="1087" t="s">
        <v>1384</v>
      </c>
      <c r="U29" s="1089" t="s">
        <v>1384</v>
      </c>
      <c r="V29" s="1453" t="s">
        <v>1384</v>
      </c>
      <c r="W29" s="1087" t="s">
        <v>1384</v>
      </c>
      <c r="X29" s="1089" t="s">
        <v>1384</v>
      </c>
      <c r="Y29" s="1177" t="s">
        <v>1384</v>
      </c>
      <c r="Z29" s="1087" t="s">
        <v>1384</v>
      </c>
      <c r="AA29" s="1089" t="s">
        <v>1384</v>
      </c>
      <c r="AB29" s="1177" t="s">
        <v>1384</v>
      </c>
      <c r="AC29" s="1087" t="s">
        <v>1384</v>
      </c>
      <c r="AD29" s="1089" t="s">
        <v>1384</v>
      </c>
      <c r="AE29" s="1177" t="s">
        <v>1384</v>
      </c>
      <c r="AF29" s="1087" t="s">
        <v>1384</v>
      </c>
      <c r="AG29" s="1089" t="s">
        <v>1384</v>
      </c>
      <c r="AH29" s="1177" t="s">
        <v>1384</v>
      </c>
      <c r="AI29" s="788">
        <v>24</v>
      </c>
      <c r="AJ29" s="1091" t="s">
        <v>1570</v>
      </c>
      <c r="AK29" s="1087">
        <v>28</v>
      </c>
      <c r="AL29" s="1089">
        <v>1.2E-2</v>
      </c>
      <c r="AM29" s="1177">
        <v>441.52</v>
      </c>
      <c r="AN29" s="1087" t="s">
        <v>1384</v>
      </c>
      <c r="AO29" s="1089" t="s">
        <v>1384</v>
      </c>
      <c r="AP29" s="1177" t="s">
        <v>1384</v>
      </c>
      <c r="AQ29" s="1088">
        <v>15</v>
      </c>
      <c r="AR29" s="1089">
        <v>0.4</v>
      </c>
      <c r="AS29" s="1088">
        <v>26678</v>
      </c>
      <c r="AT29" s="1087" t="s">
        <v>1384</v>
      </c>
      <c r="AU29" s="1089" t="s">
        <v>1384</v>
      </c>
      <c r="AV29" s="1177" t="s">
        <v>1384</v>
      </c>
    </row>
    <row r="30" spans="1:48" ht="16.5" customHeight="1">
      <c r="A30" s="789">
        <v>25</v>
      </c>
      <c r="B30" s="935" t="s">
        <v>1429</v>
      </c>
      <c r="C30" s="1454" t="s">
        <v>1384</v>
      </c>
      <c r="D30" s="1455" t="s">
        <v>1384</v>
      </c>
      <c r="E30" s="1456" t="s">
        <v>1384</v>
      </c>
      <c r="F30" s="1454">
        <v>13195</v>
      </c>
      <c r="G30" s="1455">
        <v>18.097999999999999</v>
      </c>
      <c r="H30" s="1457">
        <v>1371.57</v>
      </c>
      <c r="I30" s="1454">
        <v>2095</v>
      </c>
      <c r="J30" s="1455">
        <v>6.4130000000000003</v>
      </c>
      <c r="K30" s="1457">
        <v>3061.12</v>
      </c>
      <c r="L30" s="1454" t="s">
        <v>1384</v>
      </c>
      <c r="M30" s="1455" t="s">
        <v>1384</v>
      </c>
      <c r="N30" s="1457" t="s">
        <v>1384</v>
      </c>
      <c r="O30" s="1454" t="s">
        <v>1384</v>
      </c>
      <c r="P30" s="1455" t="s">
        <v>1384</v>
      </c>
      <c r="Q30" s="1457" t="s">
        <v>1384</v>
      </c>
      <c r="R30" s="789">
        <v>25</v>
      </c>
      <c r="S30" s="1092" t="s">
        <v>1429</v>
      </c>
      <c r="T30" s="1454">
        <v>3</v>
      </c>
      <c r="U30" s="1455">
        <v>4.1000000000000002E-2</v>
      </c>
      <c r="V30" s="1458">
        <v>13.54</v>
      </c>
      <c r="W30" s="1454" t="s">
        <v>1384</v>
      </c>
      <c r="X30" s="1455" t="s">
        <v>1384</v>
      </c>
      <c r="Y30" s="1457" t="s">
        <v>1384</v>
      </c>
      <c r="Z30" s="1454" t="s">
        <v>1384</v>
      </c>
      <c r="AA30" s="1455" t="s">
        <v>1384</v>
      </c>
      <c r="AB30" s="1457" t="s">
        <v>1384</v>
      </c>
      <c r="AC30" s="1454">
        <v>164</v>
      </c>
      <c r="AD30" s="1455">
        <v>0.11799999999999999</v>
      </c>
      <c r="AE30" s="1457">
        <v>718.42</v>
      </c>
      <c r="AF30" s="1454" t="s">
        <v>1384</v>
      </c>
      <c r="AG30" s="1455" t="s">
        <v>1384</v>
      </c>
      <c r="AH30" s="1457" t="s">
        <v>1384</v>
      </c>
      <c r="AI30" s="789">
        <v>25</v>
      </c>
      <c r="AJ30" s="1092" t="s">
        <v>1429</v>
      </c>
      <c r="AK30" s="1454">
        <v>9</v>
      </c>
      <c r="AL30" s="1455">
        <v>4.0000000000000001E-3</v>
      </c>
      <c r="AM30" s="1457">
        <v>472.88</v>
      </c>
      <c r="AN30" s="1454" t="s">
        <v>1384</v>
      </c>
      <c r="AO30" s="1455" t="s">
        <v>1384</v>
      </c>
      <c r="AP30" s="1457" t="s">
        <v>1384</v>
      </c>
      <c r="AQ30" s="1456">
        <v>68</v>
      </c>
      <c r="AR30" s="1455">
        <v>1.6559999999999999</v>
      </c>
      <c r="AS30" s="1456">
        <v>24356</v>
      </c>
      <c r="AT30" s="1454" t="s">
        <v>1384</v>
      </c>
      <c r="AU30" s="1455" t="s">
        <v>1384</v>
      </c>
      <c r="AV30" s="1457" t="s">
        <v>1384</v>
      </c>
    </row>
    <row r="31" spans="1:48" ht="12.75" customHeight="1">
      <c r="Q31" s="1093" t="s">
        <v>444</v>
      </c>
      <c r="R31" s="218"/>
      <c r="AB31" s="25"/>
      <c r="AF31" s="337"/>
      <c r="AG31" s="337"/>
      <c r="AH31" s="1093" t="s">
        <v>444</v>
      </c>
      <c r="AI31" s="1094" t="s">
        <v>1476</v>
      </c>
      <c r="AJ31" s="1097"/>
      <c r="AK31" s="1097"/>
      <c r="AL31" s="1097"/>
      <c r="AM31" s="1264" t="s">
        <v>598</v>
      </c>
      <c r="AN31" s="1265"/>
      <c r="AO31" s="1097"/>
      <c r="AP31" s="1097"/>
      <c r="AQ31" s="1097"/>
      <c r="AR31" s="1063" t="s">
        <v>1525</v>
      </c>
      <c r="AS31" s="1095" t="s">
        <v>1179</v>
      </c>
      <c r="AT31" s="1097"/>
      <c r="AU31" s="1096"/>
      <c r="AV31" s="1097"/>
    </row>
    <row r="32" spans="1:48" ht="12.75" customHeight="1">
      <c r="R32" s="218"/>
      <c r="AF32" s="337"/>
      <c r="AG32" s="337"/>
      <c r="AH32" s="337"/>
      <c r="AI32" s="1094" t="s">
        <v>870</v>
      </c>
      <c r="AJ32" s="1097"/>
      <c r="AK32" s="1097"/>
      <c r="AL32" s="1041" t="s">
        <v>1232</v>
      </c>
      <c r="AM32" s="1097"/>
      <c r="AN32" s="1097"/>
      <c r="AO32" s="1097"/>
      <c r="AP32" s="1097"/>
      <c r="AQ32" s="1097"/>
      <c r="AR32" s="1096"/>
      <c r="AS32" s="1095" t="s">
        <v>313</v>
      </c>
      <c r="AT32" s="1097"/>
      <c r="AU32" s="1096"/>
      <c r="AV32" s="1097"/>
    </row>
    <row r="33" spans="1:35" ht="13.5">
      <c r="A33" s="218"/>
      <c r="R33" s="218"/>
      <c r="AI33" s="1301" t="s">
        <v>547</v>
      </c>
    </row>
    <row r="34" spans="1:35">
      <c r="C34" s="218"/>
    </row>
    <row r="35" spans="1:35">
      <c r="C35" s="218"/>
    </row>
    <row r="36" spans="1:35">
      <c r="G36"/>
      <c r="H36"/>
      <c r="I36"/>
      <c r="J36"/>
      <c r="K36"/>
      <c r="T36"/>
    </row>
    <row r="37" spans="1:35">
      <c r="G37"/>
      <c r="H37"/>
      <c r="I37"/>
      <c r="J37"/>
      <c r="K37"/>
      <c r="T37"/>
    </row>
    <row r="38" spans="1:35">
      <c r="G38"/>
      <c r="H38"/>
      <c r="I38"/>
      <c r="J38"/>
      <c r="K38"/>
      <c r="T38"/>
    </row>
    <row r="39" spans="1:35">
      <c r="G39"/>
      <c r="H39"/>
      <c r="I39"/>
      <c r="J39"/>
      <c r="K39"/>
      <c r="T39"/>
    </row>
    <row r="40" spans="1:35">
      <c r="G40"/>
      <c r="H40"/>
      <c r="I40"/>
      <c r="J40"/>
      <c r="K40"/>
      <c r="T40"/>
    </row>
    <row r="41" spans="1:35">
      <c r="G41"/>
      <c r="H41"/>
      <c r="I41"/>
      <c r="J41"/>
      <c r="K41"/>
      <c r="T41"/>
    </row>
  </sheetData>
  <mergeCells count="24">
    <mergeCell ref="AQ3:AS3"/>
    <mergeCell ref="AN3:AP3"/>
    <mergeCell ref="AJ3:AJ4"/>
    <mergeCell ref="W3:Y3"/>
    <mergeCell ref="A1:Q1"/>
    <mergeCell ref="A2:Q2"/>
    <mergeCell ref="A3:A4"/>
    <mergeCell ref="B3:B4"/>
    <mergeCell ref="C3:E3"/>
    <mergeCell ref="F3:H3"/>
    <mergeCell ref="AI2:AV2"/>
    <mergeCell ref="AT3:AV3"/>
    <mergeCell ref="I3:K3"/>
    <mergeCell ref="L3:N3"/>
    <mergeCell ref="O3:Q3"/>
    <mergeCell ref="AI3:AI4"/>
    <mergeCell ref="AK3:AM3"/>
    <mergeCell ref="AC3:AE3"/>
    <mergeCell ref="AF3:AH3"/>
    <mergeCell ref="Z3:AB3"/>
    <mergeCell ref="R2:AH2"/>
    <mergeCell ref="S3:S4"/>
    <mergeCell ref="R3:R4"/>
    <mergeCell ref="T3:V3"/>
  </mergeCells>
  <phoneticPr fontId="0" type="noConversion"/>
  <printOptions horizontalCentered="1"/>
  <pageMargins left="0.14000000000000001" right="0.1" top="0.56000000000000005" bottom="0.1" header="0.56000000000000005" footer="0.1"/>
  <pageSetup paperSize="9" orientation="landscape" blackAndWhite="1" r:id="rId1"/>
  <headerFooter alignWithMargins="0"/>
  <colBreaks count="2" manualBreakCount="2">
    <brk id="17" max="1048575" man="1"/>
    <brk id="34" max="1048575" man="1"/>
  </colBreaks>
</worksheet>
</file>

<file path=xl/worksheets/sheet85.xml><?xml version="1.0" encoding="utf-8"?>
<worksheet xmlns="http://schemas.openxmlformats.org/spreadsheetml/2006/main" xmlns:r="http://schemas.openxmlformats.org/officeDocument/2006/relationships">
  <dimension ref="A1:Q85"/>
  <sheetViews>
    <sheetView workbookViewId="0">
      <selection activeCell="K35" sqref="K35"/>
    </sheetView>
  </sheetViews>
  <sheetFormatPr defaultRowHeight="12.75"/>
  <cols>
    <col min="1" max="1" width="3.5703125" style="6" customWidth="1"/>
    <col min="2" max="2" width="19.42578125" style="6" customWidth="1"/>
    <col min="3" max="3" width="10.7109375" style="6" customWidth="1"/>
    <col min="4" max="4" width="6.7109375" style="6" customWidth="1"/>
    <col min="5" max="5" width="7.7109375" style="6" customWidth="1"/>
    <col min="6" max="6" width="6.7109375" style="6" customWidth="1"/>
    <col min="7" max="7" width="6.42578125" style="6" customWidth="1"/>
    <col min="8" max="8" width="6.140625" style="6" customWidth="1"/>
    <col min="9" max="9" width="8.85546875" style="6" customWidth="1"/>
    <col min="10" max="10" width="7.42578125" style="6" customWidth="1"/>
    <col min="11" max="11" width="6" style="6" customWidth="1"/>
    <col min="12" max="12" width="4.7109375" style="6" customWidth="1"/>
    <col min="13" max="13" width="8.85546875" style="6" customWidth="1"/>
    <col min="14" max="14" width="6" style="6" customWidth="1"/>
    <col min="15" max="15" width="8.85546875" style="6" customWidth="1"/>
    <col min="16" max="16" width="7.7109375" style="6" customWidth="1"/>
    <col min="17" max="17" width="8.85546875" style="6" customWidth="1"/>
    <col min="18" max="18" width="5.7109375" style="6" customWidth="1"/>
    <col min="19" max="19" width="5" style="6" customWidth="1"/>
    <col min="20" max="16384" width="9.140625" style="6"/>
  </cols>
  <sheetData>
    <row r="1" spans="1:17" ht="18" customHeight="1">
      <c r="A1" s="1825" t="s">
        <v>556</v>
      </c>
      <c r="B1" s="1825"/>
      <c r="C1" s="1825"/>
      <c r="D1" s="1825"/>
      <c r="E1" s="1825"/>
      <c r="F1" s="1825"/>
      <c r="G1" s="1825"/>
      <c r="H1" s="1825"/>
      <c r="I1" s="1825"/>
      <c r="J1" s="1825"/>
      <c r="K1" s="1825"/>
      <c r="L1" s="1825"/>
      <c r="M1" s="1825"/>
      <c r="N1" s="1825"/>
      <c r="O1" s="1825"/>
      <c r="P1" s="1825"/>
      <c r="Q1" s="1825"/>
    </row>
    <row r="2" spans="1:17" ht="16.5">
      <c r="A2" s="2422" t="str">
        <f>CONCATENATE("Source of Irrigation and Area Irrigated by different sources in the Blocks of ",District!$A$1," for the year ",District!B3)</f>
        <v>Source of Irrigation and Area Irrigated by different sources in the Blocks of Purba Medinipur for the year 2013-14</v>
      </c>
      <c r="B2" s="2422"/>
      <c r="C2" s="2422"/>
      <c r="D2" s="2422"/>
      <c r="E2" s="2422"/>
      <c r="F2" s="2422"/>
      <c r="G2" s="2422"/>
      <c r="H2" s="2422"/>
      <c r="I2" s="2422"/>
      <c r="J2" s="2422"/>
      <c r="K2" s="2422"/>
      <c r="L2" s="2422"/>
      <c r="M2" s="2422"/>
      <c r="N2" s="2422"/>
      <c r="O2" s="2422"/>
      <c r="P2" s="2422"/>
      <c r="Q2" s="2422"/>
    </row>
    <row r="3" spans="1:17" ht="13.5" customHeight="1">
      <c r="B3" s="17"/>
      <c r="C3" s="17"/>
      <c r="D3" s="17"/>
      <c r="E3" s="17"/>
      <c r="F3" s="17"/>
      <c r="G3" s="17"/>
      <c r="H3" s="17"/>
      <c r="I3" s="17"/>
      <c r="J3" s="17"/>
      <c r="K3" s="17"/>
      <c r="L3" s="17"/>
      <c r="M3" s="17"/>
      <c r="N3" s="17"/>
      <c r="O3" s="17"/>
      <c r="P3" s="17"/>
      <c r="Q3" s="194" t="s">
        <v>1484</v>
      </c>
    </row>
    <row r="4" spans="1:17" ht="15.95" customHeight="1">
      <c r="A4" s="1833" t="s">
        <v>1434</v>
      </c>
      <c r="B4" s="1833" t="s">
        <v>27</v>
      </c>
      <c r="C4" s="1833" t="s">
        <v>40</v>
      </c>
      <c r="D4" s="1829" t="s">
        <v>1613</v>
      </c>
      <c r="E4" s="1828"/>
      <c r="F4" s="1829" t="s">
        <v>48</v>
      </c>
      <c r="G4" s="1828"/>
      <c r="H4" s="1829" t="s">
        <v>1617</v>
      </c>
      <c r="I4" s="1828"/>
      <c r="J4" s="1829" t="s">
        <v>1618</v>
      </c>
      <c r="K4" s="1828"/>
      <c r="L4" s="1829" t="s">
        <v>1619</v>
      </c>
      <c r="M4" s="1828"/>
      <c r="N4" s="1829" t="s">
        <v>1128</v>
      </c>
      <c r="O4" s="1828"/>
      <c r="P4" s="1829" t="s">
        <v>979</v>
      </c>
      <c r="Q4" s="1828"/>
    </row>
    <row r="5" spans="1:17" ht="15.95" customHeight="1">
      <c r="A5" s="1834"/>
      <c r="B5" s="1832"/>
      <c r="C5" s="1834"/>
      <c r="D5" s="412" t="s">
        <v>1030</v>
      </c>
      <c r="E5" s="403" t="s">
        <v>407</v>
      </c>
      <c r="F5" s="412" t="s">
        <v>1030</v>
      </c>
      <c r="G5" s="403" t="s">
        <v>407</v>
      </c>
      <c r="H5" s="412" t="s">
        <v>1030</v>
      </c>
      <c r="I5" s="403" t="s">
        <v>407</v>
      </c>
      <c r="J5" s="412" t="s">
        <v>1030</v>
      </c>
      <c r="K5" s="403" t="s">
        <v>407</v>
      </c>
      <c r="L5" s="412" t="s">
        <v>1030</v>
      </c>
      <c r="M5" s="403" t="s">
        <v>407</v>
      </c>
      <c r="N5" s="412" t="s">
        <v>1030</v>
      </c>
      <c r="O5" s="403" t="s">
        <v>407</v>
      </c>
      <c r="P5" s="412" t="s">
        <v>1030</v>
      </c>
      <c r="Q5" s="403" t="s">
        <v>407</v>
      </c>
    </row>
    <row r="6" spans="1:17" ht="15.95" customHeight="1">
      <c r="A6" s="193" t="s">
        <v>955</v>
      </c>
      <c r="B6" s="134" t="s">
        <v>956</v>
      </c>
      <c r="C6" s="193" t="s">
        <v>957</v>
      </c>
      <c r="D6" s="191" t="s">
        <v>958</v>
      </c>
      <c r="E6" s="192" t="s">
        <v>959</v>
      </c>
      <c r="F6" s="191" t="s">
        <v>961</v>
      </c>
      <c r="G6" s="192" t="s">
        <v>962</v>
      </c>
      <c r="H6" s="191" t="s">
        <v>990</v>
      </c>
      <c r="I6" s="192" t="s">
        <v>991</v>
      </c>
      <c r="J6" s="191" t="s">
        <v>992</v>
      </c>
      <c r="K6" s="192" t="s">
        <v>993</v>
      </c>
      <c r="L6" s="191" t="s">
        <v>1046</v>
      </c>
      <c r="M6" s="192" t="s">
        <v>1048</v>
      </c>
      <c r="N6" s="191" t="s">
        <v>1049</v>
      </c>
      <c r="O6" s="192" t="s">
        <v>1050</v>
      </c>
      <c r="P6" s="1284" t="s">
        <v>1051</v>
      </c>
      <c r="Q6" s="1283" t="s">
        <v>1052</v>
      </c>
    </row>
    <row r="7" spans="1:17" ht="15" customHeight="1">
      <c r="A7" s="848">
        <v>1</v>
      </c>
      <c r="B7" s="598" t="s">
        <v>200</v>
      </c>
      <c r="C7" s="445" t="s">
        <v>1384</v>
      </c>
      <c r="D7" s="446">
        <v>1850</v>
      </c>
      <c r="E7" s="1606">
        <v>500</v>
      </c>
      <c r="F7" s="1612">
        <v>42</v>
      </c>
      <c r="G7" s="1613">
        <v>700</v>
      </c>
      <c r="H7" s="457">
        <v>4</v>
      </c>
      <c r="I7" s="458">
        <v>16</v>
      </c>
      <c r="J7" s="1599">
        <v>3</v>
      </c>
      <c r="K7" s="1591">
        <v>100</v>
      </c>
      <c r="L7" s="446" t="s">
        <v>1384</v>
      </c>
      <c r="M7" s="447" t="s">
        <v>1384</v>
      </c>
      <c r="N7" s="446" t="s">
        <v>918</v>
      </c>
      <c r="O7" s="447">
        <v>6200</v>
      </c>
      <c r="P7" s="1597">
        <f>SUM(D7,F7,H7,J7,L7,N7)</f>
        <v>1899</v>
      </c>
      <c r="Q7" s="1607">
        <f>SUM(C7,E7,G7,I7,K7,M7,O7)</f>
        <v>7516</v>
      </c>
    </row>
    <row r="8" spans="1:17" ht="15" customHeight="1">
      <c r="A8" s="788">
        <v>2</v>
      </c>
      <c r="B8" s="598" t="s">
        <v>1386</v>
      </c>
      <c r="C8" s="445" t="s">
        <v>1384</v>
      </c>
      <c r="D8" s="446">
        <v>6890</v>
      </c>
      <c r="E8" s="447">
        <v>695</v>
      </c>
      <c r="F8" s="1614" t="s">
        <v>1384</v>
      </c>
      <c r="G8" s="1611" t="s">
        <v>1384</v>
      </c>
      <c r="H8" s="1598" t="s">
        <v>1384</v>
      </c>
      <c r="I8" s="1591" t="s">
        <v>1384</v>
      </c>
      <c r="J8" s="1231">
        <v>3</v>
      </c>
      <c r="K8" s="147">
        <v>120</v>
      </c>
      <c r="L8" s="446" t="s">
        <v>1384</v>
      </c>
      <c r="M8" s="447" t="s">
        <v>1384</v>
      </c>
      <c r="N8" s="446" t="s">
        <v>918</v>
      </c>
      <c r="O8" s="447">
        <v>4500</v>
      </c>
      <c r="P8" s="1598">
        <f>SUM(D8,F8,H8,J8,L8,N8)</f>
        <v>6893</v>
      </c>
      <c r="Q8" s="1084">
        <f t="shared" ref="Q8:Q31" si="0">SUM(C8,E8,G8,I8,K8,M8,O8)</f>
        <v>5315</v>
      </c>
    </row>
    <row r="9" spans="1:17" ht="15" customHeight="1">
      <c r="A9" s="788">
        <v>3</v>
      </c>
      <c r="B9" s="598" t="s">
        <v>1388</v>
      </c>
      <c r="C9" s="445">
        <v>777</v>
      </c>
      <c r="D9" s="446">
        <v>1529</v>
      </c>
      <c r="E9" s="447">
        <v>1161</v>
      </c>
      <c r="F9" s="1614">
        <v>897</v>
      </c>
      <c r="G9" s="1611">
        <v>8697</v>
      </c>
      <c r="H9" s="1598">
        <v>174</v>
      </c>
      <c r="I9" s="1591">
        <v>696</v>
      </c>
      <c r="J9" s="1231">
        <v>21</v>
      </c>
      <c r="K9" s="147">
        <v>780</v>
      </c>
      <c r="L9" s="446" t="s">
        <v>1384</v>
      </c>
      <c r="M9" s="447" t="s">
        <v>1384</v>
      </c>
      <c r="N9" s="446" t="s">
        <v>918</v>
      </c>
      <c r="O9" s="447" t="s">
        <v>1384</v>
      </c>
      <c r="P9" s="1598">
        <f t="shared" ref="P9:P31" si="1">SUM(D9,F9,H9,J9,L9,N9)</f>
        <v>2621</v>
      </c>
      <c r="Q9" s="1084">
        <f t="shared" si="0"/>
        <v>12111</v>
      </c>
    </row>
    <row r="10" spans="1:17" ht="15" customHeight="1">
      <c r="A10" s="788">
        <v>4</v>
      </c>
      <c r="B10" s="1609" t="s">
        <v>1385</v>
      </c>
      <c r="C10" s="445">
        <v>460</v>
      </c>
      <c r="D10" s="446">
        <v>4050</v>
      </c>
      <c r="E10" s="447">
        <v>1400</v>
      </c>
      <c r="F10" s="1614">
        <v>168</v>
      </c>
      <c r="G10" s="1611">
        <v>1130</v>
      </c>
      <c r="H10" s="1598">
        <v>2</v>
      </c>
      <c r="I10" s="1591">
        <v>110</v>
      </c>
      <c r="J10" s="1231">
        <v>16</v>
      </c>
      <c r="K10" s="147">
        <v>720</v>
      </c>
      <c r="L10" s="446" t="s">
        <v>1384</v>
      </c>
      <c r="M10" s="447" t="s">
        <v>1384</v>
      </c>
      <c r="N10" s="446" t="s">
        <v>918</v>
      </c>
      <c r="O10" s="447">
        <v>5437</v>
      </c>
      <c r="P10" s="1598">
        <f t="shared" si="1"/>
        <v>4236</v>
      </c>
      <c r="Q10" s="1084">
        <f t="shared" si="0"/>
        <v>9257</v>
      </c>
    </row>
    <row r="11" spans="1:17" ht="15" customHeight="1">
      <c r="A11" s="788">
        <v>5</v>
      </c>
      <c r="B11" s="598" t="s">
        <v>1390</v>
      </c>
      <c r="C11" s="445">
        <v>0</v>
      </c>
      <c r="D11" s="446">
        <v>2855</v>
      </c>
      <c r="E11" s="447">
        <v>1235</v>
      </c>
      <c r="F11" s="1614">
        <v>255</v>
      </c>
      <c r="G11" s="1611">
        <v>3650</v>
      </c>
      <c r="H11" s="1598">
        <v>217</v>
      </c>
      <c r="I11" s="1591">
        <v>1303</v>
      </c>
      <c r="J11" s="1231">
        <v>5</v>
      </c>
      <c r="K11" s="147">
        <v>75</v>
      </c>
      <c r="L11" s="446" t="s">
        <v>1384</v>
      </c>
      <c r="M11" s="447" t="s">
        <v>1384</v>
      </c>
      <c r="N11" s="446" t="s">
        <v>918</v>
      </c>
      <c r="O11" s="447">
        <v>5730</v>
      </c>
      <c r="P11" s="1598">
        <f t="shared" si="1"/>
        <v>3332</v>
      </c>
      <c r="Q11" s="1084">
        <f t="shared" si="0"/>
        <v>11993</v>
      </c>
    </row>
    <row r="12" spans="1:17" ht="15" customHeight="1">
      <c r="A12" s="788">
        <v>6</v>
      </c>
      <c r="B12" s="598" t="s">
        <v>1391</v>
      </c>
      <c r="C12" s="445">
        <v>300</v>
      </c>
      <c r="D12" s="446">
        <v>30555</v>
      </c>
      <c r="E12" s="447">
        <v>1350</v>
      </c>
      <c r="F12" s="1614">
        <v>7</v>
      </c>
      <c r="G12" s="1611">
        <v>105</v>
      </c>
      <c r="H12" s="1598">
        <v>69</v>
      </c>
      <c r="I12" s="1591">
        <v>610</v>
      </c>
      <c r="J12" s="1231">
        <v>16</v>
      </c>
      <c r="K12" s="147">
        <v>410</v>
      </c>
      <c r="L12" s="446" t="s">
        <v>1384</v>
      </c>
      <c r="M12" s="447" t="s">
        <v>1384</v>
      </c>
      <c r="N12" s="446" t="s">
        <v>918</v>
      </c>
      <c r="O12" s="1591">
        <v>5060</v>
      </c>
      <c r="P12" s="1598">
        <f t="shared" si="1"/>
        <v>30647</v>
      </c>
      <c r="Q12" s="1084">
        <f t="shared" si="0"/>
        <v>7835</v>
      </c>
    </row>
    <row r="13" spans="1:17" ht="15" customHeight="1">
      <c r="A13" s="788">
        <v>7</v>
      </c>
      <c r="B13" s="598" t="s">
        <v>1392</v>
      </c>
      <c r="C13" s="445">
        <v>130</v>
      </c>
      <c r="D13" s="446">
        <v>18815</v>
      </c>
      <c r="E13" s="447">
        <v>2350</v>
      </c>
      <c r="F13" s="1614">
        <v>262</v>
      </c>
      <c r="G13" s="1611">
        <v>2910</v>
      </c>
      <c r="H13" s="1598" t="s">
        <v>1384</v>
      </c>
      <c r="I13" s="1591" t="s">
        <v>1384</v>
      </c>
      <c r="J13" s="147" t="s">
        <v>1384</v>
      </c>
      <c r="K13" s="147" t="s">
        <v>1384</v>
      </c>
      <c r="L13" s="446" t="s">
        <v>1384</v>
      </c>
      <c r="M13" s="447" t="s">
        <v>1384</v>
      </c>
      <c r="N13" s="446" t="s">
        <v>918</v>
      </c>
      <c r="O13" s="447" t="s">
        <v>1384</v>
      </c>
      <c r="P13" s="1598">
        <f t="shared" si="1"/>
        <v>19077</v>
      </c>
      <c r="Q13" s="1084">
        <f t="shared" si="0"/>
        <v>5390</v>
      </c>
    </row>
    <row r="14" spans="1:17" ht="15" customHeight="1">
      <c r="A14" s="788">
        <v>8</v>
      </c>
      <c r="B14" s="598" t="s">
        <v>1393</v>
      </c>
      <c r="C14" s="445" t="s">
        <v>1384</v>
      </c>
      <c r="D14" s="446">
        <v>948</v>
      </c>
      <c r="E14" s="447">
        <v>500</v>
      </c>
      <c r="F14" s="1614">
        <v>3</v>
      </c>
      <c r="G14" s="1770" t="s">
        <v>1279</v>
      </c>
      <c r="H14" s="1598">
        <v>11</v>
      </c>
      <c r="I14" s="1591">
        <v>55</v>
      </c>
      <c r="J14" s="1231">
        <v>20</v>
      </c>
      <c r="K14" s="147">
        <v>375</v>
      </c>
      <c r="L14" s="446" t="s">
        <v>1384</v>
      </c>
      <c r="M14" s="447" t="s">
        <v>1384</v>
      </c>
      <c r="N14" s="446" t="s">
        <v>918</v>
      </c>
      <c r="O14" s="447">
        <v>6130</v>
      </c>
      <c r="P14" s="1598">
        <f t="shared" si="1"/>
        <v>982</v>
      </c>
      <c r="Q14" s="1084">
        <f t="shared" si="0"/>
        <v>7060</v>
      </c>
    </row>
    <row r="15" spans="1:17" ht="15" customHeight="1">
      <c r="A15" s="788">
        <v>9</v>
      </c>
      <c r="B15" s="598" t="s">
        <v>1395</v>
      </c>
      <c r="C15" s="445" t="s">
        <v>1384</v>
      </c>
      <c r="D15" s="446">
        <v>18225</v>
      </c>
      <c r="E15" s="447">
        <v>2865</v>
      </c>
      <c r="F15" s="1614" t="s">
        <v>1384</v>
      </c>
      <c r="G15" s="1611" t="s">
        <v>1384</v>
      </c>
      <c r="H15" s="1598" t="s">
        <v>1384</v>
      </c>
      <c r="I15" s="1591" t="s">
        <v>1384</v>
      </c>
      <c r="J15" s="147" t="s">
        <v>1384</v>
      </c>
      <c r="K15" s="147" t="s">
        <v>1384</v>
      </c>
      <c r="L15" s="446" t="s">
        <v>1384</v>
      </c>
      <c r="M15" s="447" t="s">
        <v>1384</v>
      </c>
      <c r="N15" s="446" t="s">
        <v>918</v>
      </c>
      <c r="O15" s="447">
        <v>121</v>
      </c>
      <c r="P15" s="1598">
        <f t="shared" si="1"/>
        <v>18225</v>
      </c>
      <c r="Q15" s="1084">
        <f t="shared" si="0"/>
        <v>2986</v>
      </c>
    </row>
    <row r="16" spans="1:17" ht="15" customHeight="1">
      <c r="A16" s="788">
        <v>10</v>
      </c>
      <c r="B16" s="598" t="s">
        <v>1396</v>
      </c>
      <c r="C16" s="445" t="s">
        <v>1384</v>
      </c>
      <c r="D16" s="446">
        <v>6565</v>
      </c>
      <c r="E16" s="447">
        <v>735</v>
      </c>
      <c r="F16" s="1668" t="s">
        <v>1384</v>
      </c>
      <c r="G16" s="1611" t="s">
        <v>1384</v>
      </c>
      <c r="H16" s="1598">
        <v>130</v>
      </c>
      <c r="I16" s="1591">
        <v>1500</v>
      </c>
      <c r="J16" s="147" t="s">
        <v>1384</v>
      </c>
      <c r="K16" s="147" t="s">
        <v>1384</v>
      </c>
      <c r="L16" s="446" t="s">
        <v>1384</v>
      </c>
      <c r="M16" s="447" t="s">
        <v>1384</v>
      </c>
      <c r="N16" s="446" t="s">
        <v>918</v>
      </c>
      <c r="O16" s="447">
        <v>600</v>
      </c>
      <c r="P16" s="1598">
        <f t="shared" si="1"/>
        <v>6695</v>
      </c>
      <c r="Q16" s="1084">
        <f t="shared" si="0"/>
        <v>2835</v>
      </c>
    </row>
    <row r="17" spans="1:17" ht="15" customHeight="1">
      <c r="A17" s="788">
        <v>11</v>
      </c>
      <c r="B17" s="598" t="s">
        <v>1397</v>
      </c>
      <c r="C17" s="445" t="s">
        <v>1384</v>
      </c>
      <c r="D17" s="446">
        <v>110</v>
      </c>
      <c r="E17" s="447">
        <v>200</v>
      </c>
      <c r="F17" s="1614" t="s">
        <v>1384</v>
      </c>
      <c r="G17" s="1611" t="s">
        <v>1384</v>
      </c>
      <c r="H17" s="1598" t="s">
        <v>1384</v>
      </c>
      <c r="I17" s="1591" t="s">
        <v>1384</v>
      </c>
      <c r="J17" s="147">
        <v>11</v>
      </c>
      <c r="K17" s="1778" t="s">
        <v>1279</v>
      </c>
      <c r="L17" s="446" t="s">
        <v>1384</v>
      </c>
      <c r="M17" s="447" t="s">
        <v>1384</v>
      </c>
      <c r="N17" s="446" t="s">
        <v>918</v>
      </c>
      <c r="O17" s="447">
        <v>3300</v>
      </c>
      <c r="P17" s="1598">
        <f t="shared" si="1"/>
        <v>121</v>
      </c>
      <c r="Q17" s="1084">
        <f t="shared" si="0"/>
        <v>3500</v>
      </c>
    </row>
    <row r="18" spans="1:17" ht="15" customHeight="1">
      <c r="A18" s="788">
        <v>12</v>
      </c>
      <c r="B18" s="598" t="s">
        <v>1399</v>
      </c>
      <c r="C18" s="445">
        <v>1378</v>
      </c>
      <c r="D18" s="446">
        <v>560</v>
      </c>
      <c r="E18" s="447">
        <v>710</v>
      </c>
      <c r="F18" s="1614">
        <v>1</v>
      </c>
      <c r="G18" s="1611">
        <v>25</v>
      </c>
      <c r="H18" s="1598" t="s">
        <v>1384</v>
      </c>
      <c r="I18" s="1591" t="s">
        <v>1384</v>
      </c>
      <c r="J18" s="147">
        <v>22</v>
      </c>
      <c r="K18" s="147">
        <v>250</v>
      </c>
      <c r="L18" s="446" t="s">
        <v>1384</v>
      </c>
      <c r="M18" s="447" t="s">
        <v>1384</v>
      </c>
      <c r="N18" s="446" t="s">
        <v>918</v>
      </c>
      <c r="O18" s="447" t="s">
        <v>1384</v>
      </c>
      <c r="P18" s="1598">
        <f t="shared" si="1"/>
        <v>583</v>
      </c>
      <c r="Q18" s="1084">
        <f t="shared" si="0"/>
        <v>2363</v>
      </c>
    </row>
    <row r="19" spans="1:17" ht="15" customHeight="1">
      <c r="A19" s="788">
        <v>13</v>
      </c>
      <c r="B19" s="598" t="s">
        <v>1269</v>
      </c>
      <c r="C19" s="445">
        <v>598</v>
      </c>
      <c r="D19" s="446">
        <v>1566</v>
      </c>
      <c r="E19" s="447">
        <v>686</v>
      </c>
      <c r="F19" s="1614">
        <v>588</v>
      </c>
      <c r="G19" s="1611">
        <v>4215</v>
      </c>
      <c r="H19" s="1598">
        <v>1344</v>
      </c>
      <c r="I19" s="1591">
        <v>4736</v>
      </c>
      <c r="J19" s="147">
        <v>13</v>
      </c>
      <c r="K19" s="147">
        <v>395</v>
      </c>
      <c r="L19" s="446" t="s">
        <v>1384</v>
      </c>
      <c r="M19" s="447" t="s">
        <v>1384</v>
      </c>
      <c r="N19" s="446" t="s">
        <v>918</v>
      </c>
      <c r="O19" s="447" t="s">
        <v>1384</v>
      </c>
      <c r="P19" s="1598">
        <f t="shared" si="1"/>
        <v>3511</v>
      </c>
      <c r="Q19" s="1084">
        <f t="shared" si="0"/>
        <v>10630</v>
      </c>
    </row>
    <row r="20" spans="1:17" ht="15" customHeight="1">
      <c r="A20" s="788">
        <v>14</v>
      </c>
      <c r="B20" s="598" t="s">
        <v>1270</v>
      </c>
      <c r="C20" s="445">
        <v>20</v>
      </c>
      <c r="D20" s="446">
        <v>4800</v>
      </c>
      <c r="E20" s="447">
        <v>1430</v>
      </c>
      <c r="F20" s="1614">
        <v>84</v>
      </c>
      <c r="G20" s="1611">
        <v>1525</v>
      </c>
      <c r="H20" s="1598">
        <v>2640</v>
      </c>
      <c r="I20" s="1591">
        <v>7940</v>
      </c>
      <c r="J20" s="147" t="s">
        <v>1384</v>
      </c>
      <c r="K20" s="147" t="s">
        <v>1384</v>
      </c>
      <c r="L20" s="446" t="s">
        <v>1384</v>
      </c>
      <c r="M20" s="447" t="s">
        <v>1384</v>
      </c>
      <c r="N20" s="446" t="s">
        <v>918</v>
      </c>
      <c r="O20" s="447" t="s">
        <v>1384</v>
      </c>
      <c r="P20" s="1598">
        <f t="shared" si="1"/>
        <v>7524</v>
      </c>
      <c r="Q20" s="1084">
        <f t="shared" si="0"/>
        <v>10915</v>
      </c>
    </row>
    <row r="21" spans="1:17" ht="15" customHeight="1">
      <c r="A21" s="788">
        <v>15</v>
      </c>
      <c r="B21" s="598" t="s">
        <v>1412</v>
      </c>
      <c r="C21" s="1589">
        <v>260</v>
      </c>
      <c r="D21" s="1598">
        <v>6535</v>
      </c>
      <c r="E21" s="447">
        <v>2200</v>
      </c>
      <c r="F21" s="1614">
        <v>535</v>
      </c>
      <c r="G21" s="1611">
        <v>7450</v>
      </c>
      <c r="H21" s="1598" t="s">
        <v>1384</v>
      </c>
      <c r="I21" s="1591" t="s">
        <v>1384</v>
      </c>
      <c r="J21" s="147" t="s">
        <v>1384</v>
      </c>
      <c r="K21" s="147" t="s">
        <v>1384</v>
      </c>
      <c r="L21" s="446" t="s">
        <v>1384</v>
      </c>
      <c r="M21" s="447" t="s">
        <v>1384</v>
      </c>
      <c r="N21" s="446" t="s">
        <v>918</v>
      </c>
      <c r="O21" s="447" t="s">
        <v>1384</v>
      </c>
      <c r="P21" s="1598">
        <f t="shared" si="1"/>
        <v>7070</v>
      </c>
      <c r="Q21" s="1084">
        <f t="shared" si="0"/>
        <v>9910</v>
      </c>
    </row>
    <row r="22" spans="1:17" ht="15" customHeight="1">
      <c r="A22" s="788">
        <v>16</v>
      </c>
      <c r="B22" s="598" t="s">
        <v>1413</v>
      </c>
      <c r="C22" s="445">
        <v>55</v>
      </c>
      <c r="D22" s="446">
        <v>56</v>
      </c>
      <c r="E22" s="1591">
        <v>140</v>
      </c>
      <c r="F22" s="1614">
        <v>1412</v>
      </c>
      <c r="G22" s="1611">
        <v>12115</v>
      </c>
      <c r="H22" s="1598">
        <v>490</v>
      </c>
      <c r="I22" s="1591">
        <v>1000</v>
      </c>
      <c r="J22" s="147" t="s">
        <v>1384</v>
      </c>
      <c r="K22" s="147" t="s">
        <v>1384</v>
      </c>
      <c r="L22" s="446" t="s">
        <v>1384</v>
      </c>
      <c r="M22" s="447" t="s">
        <v>1384</v>
      </c>
      <c r="N22" s="446" t="s">
        <v>918</v>
      </c>
      <c r="O22" s="447" t="s">
        <v>1384</v>
      </c>
      <c r="P22" s="1598">
        <f t="shared" si="1"/>
        <v>1958</v>
      </c>
      <c r="Q22" s="1084">
        <f t="shared" si="0"/>
        <v>13310</v>
      </c>
    </row>
    <row r="23" spans="1:17" ht="15" customHeight="1">
      <c r="A23" s="788">
        <v>17</v>
      </c>
      <c r="B23" s="598" t="s">
        <v>1414</v>
      </c>
      <c r="C23" s="445">
        <v>550</v>
      </c>
      <c r="D23" s="446">
        <v>483</v>
      </c>
      <c r="E23" s="447">
        <v>175</v>
      </c>
      <c r="F23" s="1614">
        <v>589</v>
      </c>
      <c r="G23" s="1611">
        <v>7735</v>
      </c>
      <c r="H23" s="1598">
        <v>200</v>
      </c>
      <c r="I23" s="1591">
        <v>920</v>
      </c>
      <c r="J23" s="147" t="s">
        <v>1384</v>
      </c>
      <c r="K23" s="147" t="s">
        <v>1384</v>
      </c>
      <c r="L23" s="446" t="s">
        <v>1384</v>
      </c>
      <c r="M23" s="447" t="s">
        <v>1384</v>
      </c>
      <c r="N23" s="446" t="s">
        <v>918</v>
      </c>
      <c r="O23" s="447">
        <v>300</v>
      </c>
      <c r="P23" s="1598">
        <f t="shared" si="1"/>
        <v>1272</v>
      </c>
      <c r="Q23" s="1084">
        <f t="shared" si="0"/>
        <v>9680</v>
      </c>
    </row>
    <row r="24" spans="1:17" ht="15" customHeight="1">
      <c r="A24" s="788">
        <v>18</v>
      </c>
      <c r="B24" s="598" t="s">
        <v>1419</v>
      </c>
      <c r="C24" s="445">
        <v>175</v>
      </c>
      <c r="D24" s="446">
        <v>14885</v>
      </c>
      <c r="E24" s="447">
        <v>2940</v>
      </c>
      <c r="F24" s="1614">
        <v>25</v>
      </c>
      <c r="G24" s="1611">
        <v>745</v>
      </c>
      <c r="H24" s="1598">
        <v>6</v>
      </c>
      <c r="I24" s="1591">
        <v>52</v>
      </c>
      <c r="J24" s="147">
        <v>2</v>
      </c>
      <c r="K24" s="1778" t="s">
        <v>1279</v>
      </c>
      <c r="L24" s="446" t="s">
        <v>1384</v>
      </c>
      <c r="M24" s="447" t="s">
        <v>1384</v>
      </c>
      <c r="N24" s="446" t="s">
        <v>918</v>
      </c>
      <c r="O24" s="447">
        <v>50</v>
      </c>
      <c r="P24" s="1598">
        <f t="shared" si="1"/>
        <v>14918</v>
      </c>
      <c r="Q24" s="1084">
        <f t="shared" si="0"/>
        <v>3962</v>
      </c>
    </row>
    <row r="25" spans="1:17" ht="15" customHeight="1">
      <c r="A25" s="788">
        <v>19</v>
      </c>
      <c r="B25" s="598" t="s">
        <v>1420</v>
      </c>
      <c r="C25" s="445">
        <v>60</v>
      </c>
      <c r="D25" s="446">
        <v>14155</v>
      </c>
      <c r="E25" s="447">
        <v>3265</v>
      </c>
      <c r="F25" s="1614">
        <v>57</v>
      </c>
      <c r="G25" s="1611">
        <v>1360</v>
      </c>
      <c r="H25" s="1598">
        <v>4</v>
      </c>
      <c r="I25" s="1591">
        <v>18</v>
      </c>
      <c r="J25" s="147" t="s">
        <v>1384</v>
      </c>
      <c r="K25" s="147" t="s">
        <v>1384</v>
      </c>
      <c r="L25" s="446" t="s">
        <v>1384</v>
      </c>
      <c r="M25" s="447" t="s">
        <v>1384</v>
      </c>
      <c r="N25" s="446" t="s">
        <v>918</v>
      </c>
      <c r="O25" s="447">
        <v>25</v>
      </c>
      <c r="P25" s="1598">
        <f t="shared" si="1"/>
        <v>14216</v>
      </c>
      <c r="Q25" s="1084">
        <f t="shared" si="0"/>
        <v>4728</v>
      </c>
    </row>
    <row r="26" spans="1:17" ht="15" customHeight="1">
      <c r="A26" s="788">
        <v>20</v>
      </c>
      <c r="B26" s="598" t="s">
        <v>1422</v>
      </c>
      <c r="C26" s="445">
        <v>630</v>
      </c>
      <c r="D26" s="446">
        <v>10498</v>
      </c>
      <c r="E26" s="447">
        <v>2695</v>
      </c>
      <c r="F26" s="1614">
        <v>581</v>
      </c>
      <c r="G26" s="1611">
        <v>5729</v>
      </c>
      <c r="H26" s="1598">
        <v>29</v>
      </c>
      <c r="I26" s="1591">
        <v>162</v>
      </c>
      <c r="J26" s="147" t="s">
        <v>1384</v>
      </c>
      <c r="K26" s="147" t="s">
        <v>1384</v>
      </c>
      <c r="L26" s="446" t="s">
        <v>1384</v>
      </c>
      <c r="M26" s="447" t="s">
        <v>1384</v>
      </c>
      <c r="N26" s="446" t="s">
        <v>918</v>
      </c>
      <c r="O26" s="447" t="s">
        <v>1384</v>
      </c>
      <c r="P26" s="1598">
        <f t="shared" si="1"/>
        <v>11108</v>
      </c>
      <c r="Q26" s="1084">
        <f t="shared" si="0"/>
        <v>9216</v>
      </c>
    </row>
    <row r="27" spans="1:17" ht="15" customHeight="1">
      <c r="A27" s="788">
        <v>21</v>
      </c>
      <c r="B27" s="598" t="s">
        <v>1423</v>
      </c>
      <c r="C27" s="445">
        <v>100</v>
      </c>
      <c r="D27" s="446">
        <v>10300</v>
      </c>
      <c r="E27" s="447">
        <v>1960</v>
      </c>
      <c r="F27" s="1614">
        <v>2</v>
      </c>
      <c r="G27" s="1611">
        <v>80</v>
      </c>
      <c r="H27" s="1598">
        <v>332</v>
      </c>
      <c r="I27" s="1591">
        <v>3300</v>
      </c>
      <c r="J27" s="147" t="s">
        <v>1384</v>
      </c>
      <c r="K27" s="147" t="s">
        <v>1384</v>
      </c>
      <c r="L27" s="446" t="s">
        <v>1384</v>
      </c>
      <c r="M27" s="447" t="s">
        <v>1384</v>
      </c>
      <c r="N27" s="446" t="s">
        <v>918</v>
      </c>
      <c r="O27" s="447" t="s">
        <v>1384</v>
      </c>
      <c r="P27" s="1598">
        <f t="shared" si="1"/>
        <v>10634</v>
      </c>
      <c r="Q27" s="1084">
        <f t="shared" si="0"/>
        <v>5440</v>
      </c>
    </row>
    <row r="28" spans="1:17" ht="15" customHeight="1">
      <c r="A28" s="788">
        <v>22</v>
      </c>
      <c r="B28" s="598" t="s">
        <v>1425</v>
      </c>
      <c r="C28" s="445" t="s">
        <v>1384</v>
      </c>
      <c r="D28" s="446">
        <v>1215</v>
      </c>
      <c r="E28" s="447">
        <v>150</v>
      </c>
      <c r="F28" s="1614">
        <v>1</v>
      </c>
      <c r="G28" s="1611">
        <v>40</v>
      </c>
      <c r="H28" s="1598">
        <v>334</v>
      </c>
      <c r="I28" s="1591">
        <v>4445</v>
      </c>
      <c r="J28" s="147" t="s">
        <v>1384</v>
      </c>
      <c r="K28" s="147" t="s">
        <v>1384</v>
      </c>
      <c r="L28" s="446" t="s">
        <v>1384</v>
      </c>
      <c r="M28" s="447" t="s">
        <v>1384</v>
      </c>
      <c r="N28" s="446" t="s">
        <v>918</v>
      </c>
      <c r="O28" s="447" t="s">
        <v>1384</v>
      </c>
      <c r="P28" s="1598">
        <f t="shared" si="1"/>
        <v>1550</v>
      </c>
      <c r="Q28" s="1084">
        <f t="shared" si="0"/>
        <v>4635</v>
      </c>
    </row>
    <row r="29" spans="1:17" ht="15" customHeight="1">
      <c r="A29" s="788">
        <v>23</v>
      </c>
      <c r="B29" s="598" t="s">
        <v>1426</v>
      </c>
      <c r="C29" s="445" t="s">
        <v>1384</v>
      </c>
      <c r="D29" s="446">
        <v>20304</v>
      </c>
      <c r="E29" s="447">
        <v>403</v>
      </c>
      <c r="F29" s="1614">
        <v>235</v>
      </c>
      <c r="G29" s="1611">
        <v>2381</v>
      </c>
      <c r="H29" s="1598">
        <v>226</v>
      </c>
      <c r="I29" s="1591">
        <v>940</v>
      </c>
      <c r="J29" s="147" t="s">
        <v>1384</v>
      </c>
      <c r="K29" s="147" t="s">
        <v>1384</v>
      </c>
      <c r="L29" s="446" t="s">
        <v>1384</v>
      </c>
      <c r="M29" s="447" t="s">
        <v>1384</v>
      </c>
      <c r="N29" s="446" t="s">
        <v>918</v>
      </c>
      <c r="O29" s="447" t="s">
        <v>1384</v>
      </c>
      <c r="P29" s="1598">
        <f t="shared" si="1"/>
        <v>20765</v>
      </c>
      <c r="Q29" s="1084">
        <f t="shared" si="0"/>
        <v>3724</v>
      </c>
    </row>
    <row r="30" spans="1:17" ht="15" customHeight="1">
      <c r="A30" s="788">
        <v>24</v>
      </c>
      <c r="B30" s="598" t="s">
        <v>263</v>
      </c>
      <c r="C30" s="445">
        <v>15</v>
      </c>
      <c r="D30" s="446">
        <v>7305</v>
      </c>
      <c r="E30" s="447">
        <v>1027</v>
      </c>
      <c r="F30" s="1614" t="s">
        <v>1384</v>
      </c>
      <c r="G30" s="1611" t="s">
        <v>1384</v>
      </c>
      <c r="H30" s="1598">
        <v>203</v>
      </c>
      <c r="I30" s="1591">
        <v>1987</v>
      </c>
      <c r="J30" s="147" t="s">
        <v>1384</v>
      </c>
      <c r="K30" s="147" t="s">
        <v>1384</v>
      </c>
      <c r="L30" s="446" t="s">
        <v>1384</v>
      </c>
      <c r="M30" s="447" t="s">
        <v>1384</v>
      </c>
      <c r="N30" s="446" t="s">
        <v>918</v>
      </c>
      <c r="O30" s="447" t="s">
        <v>1384</v>
      </c>
      <c r="P30" s="1598">
        <f t="shared" si="1"/>
        <v>7508</v>
      </c>
      <c r="Q30" s="1084">
        <f t="shared" si="0"/>
        <v>3029</v>
      </c>
    </row>
    <row r="31" spans="1:17" ht="15" customHeight="1">
      <c r="A31" s="789">
        <v>25</v>
      </c>
      <c r="B31" s="1608" t="s">
        <v>1429</v>
      </c>
      <c r="C31" s="449" t="s">
        <v>1384</v>
      </c>
      <c r="D31" s="450">
        <v>3700</v>
      </c>
      <c r="E31" s="451">
        <v>2543</v>
      </c>
      <c r="F31" s="1615">
        <v>141</v>
      </c>
      <c r="G31" s="1616">
        <v>1710</v>
      </c>
      <c r="H31" s="1600">
        <v>70</v>
      </c>
      <c r="I31" s="1601">
        <v>700</v>
      </c>
      <c r="J31" s="1605">
        <v>6</v>
      </c>
      <c r="K31" s="1771" t="s">
        <v>1279</v>
      </c>
      <c r="L31" s="450" t="s">
        <v>1384</v>
      </c>
      <c r="M31" s="451" t="s">
        <v>1384</v>
      </c>
      <c r="N31" s="450" t="s">
        <v>918</v>
      </c>
      <c r="O31" s="451" t="s">
        <v>1384</v>
      </c>
      <c r="P31" s="1600">
        <f t="shared" si="1"/>
        <v>3917</v>
      </c>
      <c r="Q31" s="1086">
        <f t="shared" si="0"/>
        <v>4953</v>
      </c>
    </row>
    <row r="32" spans="1:17">
      <c r="A32" s="1096" t="s">
        <v>432</v>
      </c>
      <c r="B32" s="1096"/>
      <c r="D32" s="1200" t="s">
        <v>634</v>
      </c>
      <c r="E32" s="1099" t="s">
        <v>478</v>
      </c>
      <c r="I32" s="1766" t="s">
        <v>1724</v>
      </c>
      <c r="K32" s="6" t="s">
        <v>111</v>
      </c>
      <c r="M32" s="1063" t="s">
        <v>610</v>
      </c>
      <c r="N32" s="1095" t="s">
        <v>611</v>
      </c>
      <c r="O32" s="319"/>
      <c r="P32" s="319"/>
      <c r="Q32" s="319"/>
    </row>
    <row r="33" spans="1:17">
      <c r="A33" s="1096" t="s">
        <v>433</v>
      </c>
      <c r="B33" s="1096"/>
      <c r="D33" s="1200" t="s">
        <v>1618</v>
      </c>
      <c r="E33" s="1099" t="s">
        <v>479</v>
      </c>
      <c r="J33" s="6" t="s">
        <v>408</v>
      </c>
      <c r="L33" s="1096" t="s">
        <v>408</v>
      </c>
      <c r="N33" s="1098" t="s">
        <v>110</v>
      </c>
      <c r="O33" s="319"/>
      <c r="P33" s="319"/>
      <c r="Q33" s="319"/>
    </row>
    <row r="34" spans="1:17">
      <c r="A34" s="1101" t="s">
        <v>477</v>
      </c>
      <c r="B34" s="1096"/>
      <c r="C34" s="42"/>
      <c r="D34" s="1200" t="s">
        <v>633</v>
      </c>
      <c r="E34" s="1100" t="s">
        <v>339</v>
      </c>
      <c r="H34" s="42"/>
      <c r="I34" s="42"/>
      <c r="J34" s="42"/>
      <c r="L34" s="42"/>
      <c r="N34" s="2234" t="s">
        <v>115</v>
      </c>
      <c r="O34" s="1883"/>
      <c r="P34" s="1883"/>
      <c r="Q34" s="1883"/>
    </row>
    <row r="35" spans="1:17">
      <c r="A35" s="2421" t="s">
        <v>1165</v>
      </c>
      <c r="B35" s="2421"/>
      <c r="C35" s="2421"/>
      <c r="D35" s="2421"/>
      <c r="E35" s="2421"/>
      <c r="F35" s="2421"/>
      <c r="G35" s="1200"/>
      <c r="H35" s="1200"/>
      <c r="N35" s="1883"/>
      <c r="O35" s="1883"/>
      <c r="P35" s="1883"/>
      <c r="Q35" s="1883"/>
    </row>
    <row r="36" spans="1:17">
      <c r="F36" s="236"/>
      <c r="N36" s="1883"/>
      <c r="O36" s="1883"/>
      <c r="P36" s="1883"/>
      <c r="Q36" s="1883"/>
    </row>
    <row r="37" spans="1:17" s="1406" customFormat="1">
      <c r="B37" s="51"/>
      <c r="C37" s="51"/>
      <c r="D37" s="51"/>
      <c r="E37" s="51"/>
      <c r="F37" s="51"/>
      <c r="G37" s="51"/>
      <c r="H37" s="51"/>
      <c r="I37" s="51"/>
      <c r="J37" s="51"/>
      <c r="K37" s="51"/>
      <c r="L37" s="51"/>
      <c r="M37" s="51"/>
      <c r="N37" s="51"/>
      <c r="O37" s="51"/>
      <c r="P37" s="51"/>
      <c r="Q37" s="51"/>
    </row>
    <row r="40" spans="1:17">
      <c r="G40" s="42"/>
      <c r="H40" s="42"/>
      <c r="I40" s="42"/>
      <c r="J40" s="42"/>
      <c r="K40" s="42"/>
    </row>
    <row r="41" spans="1:17">
      <c r="G41" s="454"/>
      <c r="H41" s="454"/>
      <c r="I41" s="108"/>
      <c r="J41" s="42"/>
      <c r="K41" s="42"/>
    </row>
    <row r="42" spans="1:17">
      <c r="G42" s="454"/>
      <c r="H42" s="454"/>
      <c r="I42" s="108"/>
      <c r="J42" s="42"/>
      <c r="K42" s="42"/>
    </row>
    <row r="43" spans="1:17">
      <c r="G43" s="454"/>
      <c r="H43" s="454"/>
      <c r="I43" s="459"/>
      <c r="J43" s="42"/>
      <c r="K43" s="42"/>
    </row>
    <row r="44" spans="1:17">
      <c r="G44" s="454"/>
      <c r="H44" s="454"/>
      <c r="I44" s="459"/>
      <c r="J44" s="42"/>
      <c r="K44" s="42"/>
    </row>
    <row r="45" spans="1:17">
      <c r="G45" s="454"/>
      <c r="H45" s="454"/>
      <c r="I45" s="459"/>
      <c r="J45" s="42"/>
      <c r="K45" s="42"/>
    </row>
    <row r="46" spans="1:17">
      <c r="G46" s="454"/>
      <c r="H46" s="454"/>
      <c r="I46" s="459"/>
      <c r="J46" s="42"/>
      <c r="K46" s="42"/>
    </row>
    <row r="47" spans="1:17">
      <c r="G47" s="454"/>
      <c r="H47" s="454"/>
      <c r="I47" s="459"/>
      <c r="J47" s="42"/>
      <c r="K47" s="42"/>
    </row>
    <row r="48" spans="1:17">
      <c r="G48" s="454"/>
      <c r="H48" s="454"/>
      <c r="I48" s="459"/>
      <c r="J48" s="42"/>
      <c r="K48" s="42"/>
    </row>
    <row r="49" spans="7:11">
      <c r="G49" s="454"/>
      <c r="H49" s="454"/>
      <c r="I49" s="459"/>
      <c r="J49" s="42"/>
      <c r="K49" s="42"/>
    </row>
    <row r="50" spans="7:11">
      <c r="G50" s="454"/>
      <c r="H50" s="454"/>
      <c r="I50" s="459"/>
      <c r="J50" s="42"/>
      <c r="K50" s="42"/>
    </row>
    <row r="51" spans="7:11">
      <c r="G51" s="454"/>
      <c r="H51" s="454"/>
      <c r="I51" s="459"/>
      <c r="J51" s="42"/>
      <c r="K51" s="42"/>
    </row>
    <row r="52" spans="7:11">
      <c r="G52" s="454"/>
      <c r="H52" s="454"/>
      <c r="I52" s="459"/>
      <c r="J52" s="42"/>
      <c r="K52" s="42"/>
    </row>
    <row r="53" spans="7:11">
      <c r="G53" s="454"/>
      <c r="H53" s="454"/>
      <c r="I53" s="459"/>
      <c r="J53" s="42"/>
      <c r="K53" s="42"/>
    </row>
    <row r="54" spans="7:11">
      <c r="G54" s="108"/>
      <c r="H54" s="108"/>
      <c r="I54" s="459"/>
      <c r="J54" s="42"/>
      <c r="K54" s="42"/>
    </row>
    <row r="55" spans="7:11">
      <c r="G55" s="454"/>
      <c r="H55" s="454"/>
      <c r="I55" s="459"/>
      <c r="J55" s="42"/>
      <c r="K55" s="42"/>
    </row>
    <row r="56" spans="7:11">
      <c r="G56" s="454"/>
      <c r="H56" s="454"/>
      <c r="I56" s="459"/>
      <c r="J56" s="42"/>
      <c r="K56" s="42"/>
    </row>
    <row r="57" spans="7:11">
      <c r="G57" s="454"/>
      <c r="H57" s="454"/>
      <c r="I57" s="459"/>
      <c r="J57" s="42"/>
      <c r="K57" s="42"/>
    </row>
    <row r="58" spans="7:11">
      <c r="G58" s="454"/>
      <c r="H58" s="454"/>
      <c r="I58" s="459"/>
      <c r="J58" s="42"/>
      <c r="K58" s="42"/>
    </row>
    <row r="59" spans="7:11">
      <c r="G59" s="459"/>
      <c r="H59" s="454"/>
      <c r="I59" s="459"/>
      <c r="J59" s="42"/>
      <c r="K59" s="42"/>
    </row>
    <row r="60" spans="7:11">
      <c r="G60" s="454"/>
      <c r="H60" s="454"/>
      <c r="I60" s="459"/>
      <c r="J60" s="42"/>
      <c r="K60" s="42"/>
    </row>
    <row r="61" spans="7:11">
      <c r="G61" s="454"/>
      <c r="H61" s="454"/>
      <c r="I61" s="459"/>
      <c r="J61" s="42"/>
      <c r="K61" s="42"/>
    </row>
    <row r="62" spans="7:11">
      <c r="G62" s="454"/>
      <c r="H62" s="454"/>
      <c r="I62" s="459"/>
      <c r="J62" s="42"/>
      <c r="K62" s="42"/>
    </row>
    <row r="63" spans="7:11">
      <c r="G63" s="454"/>
      <c r="H63" s="454"/>
      <c r="I63" s="459"/>
      <c r="J63" s="42"/>
      <c r="K63" s="42"/>
    </row>
    <row r="64" spans="7:11">
      <c r="G64" s="454"/>
      <c r="H64" s="454"/>
      <c r="I64" s="459"/>
      <c r="J64" s="42"/>
      <c r="K64" s="42"/>
    </row>
    <row r="65" spans="7:11">
      <c r="G65" s="42"/>
      <c r="H65" s="42"/>
      <c r="I65" s="42"/>
      <c r="J65" s="42"/>
      <c r="K65" s="42"/>
    </row>
    <row r="66" spans="7:11">
      <c r="G66" s="42"/>
      <c r="H66" s="42"/>
      <c r="I66" s="42"/>
      <c r="J66" s="42"/>
      <c r="K66" s="42"/>
    </row>
    <row r="67" spans="7:11">
      <c r="G67" s="42"/>
      <c r="H67" s="42"/>
      <c r="I67" s="42"/>
      <c r="J67" s="42"/>
      <c r="K67" s="42"/>
    </row>
    <row r="68" spans="7:11">
      <c r="G68" s="42"/>
      <c r="H68" s="42"/>
      <c r="I68" s="42"/>
      <c r="J68" s="42"/>
      <c r="K68" s="42"/>
    </row>
    <row r="69" spans="7:11">
      <c r="G69" s="42"/>
      <c r="H69" s="42"/>
      <c r="I69" s="42"/>
      <c r="J69" s="42"/>
      <c r="K69" s="42"/>
    </row>
    <row r="70" spans="7:11">
      <c r="G70" s="42"/>
      <c r="H70" s="42"/>
      <c r="I70" s="42"/>
      <c r="J70" s="42"/>
      <c r="K70" s="42"/>
    </row>
    <row r="71" spans="7:11">
      <c r="G71" s="42"/>
      <c r="H71" s="42"/>
      <c r="I71" s="42"/>
      <c r="J71" s="42"/>
      <c r="K71" s="42"/>
    </row>
    <row r="72" spans="7:11">
      <c r="G72" s="42"/>
      <c r="H72" s="42"/>
      <c r="I72" s="42"/>
      <c r="J72" s="42"/>
      <c r="K72" s="42"/>
    </row>
    <row r="73" spans="7:11">
      <c r="G73" s="42"/>
      <c r="H73" s="42"/>
      <c r="I73" s="42"/>
      <c r="J73" s="42"/>
      <c r="K73" s="42"/>
    </row>
    <row r="74" spans="7:11">
      <c r="G74" s="42"/>
      <c r="H74" s="42"/>
      <c r="I74" s="42"/>
      <c r="J74" s="42"/>
      <c r="K74" s="42"/>
    </row>
    <row r="75" spans="7:11">
      <c r="G75" s="42"/>
      <c r="H75" s="42"/>
      <c r="I75" s="42"/>
      <c r="J75" s="42"/>
      <c r="K75" s="42"/>
    </row>
    <row r="76" spans="7:11">
      <c r="G76" s="42"/>
      <c r="H76" s="42"/>
      <c r="I76" s="42"/>
      <c r="J76" s="42"/>
      <c r="K76" s="42"/>
    </row>
    <row r="77" spans="7:11">
      <c r="G77" s="42"/>
      <c r="H77" s="42"/>
      <c r="I77" s="42"/>
      <c r="J77" s="42"/>
      <c r="K77" s="42"/>
    </row>
    <row r="78" spans="7:11">
      <c r="G78" s="42"/>
      <c r="H78" s="42"/>
      <c r="I78" s="42"/>
      <c r="J78" s="42"/>
      <c r="K78" s="42"/>
    </row>
    <row r="79" spans="7:11">
      <c r="G79" s="42"/>
      <c r="H79" s="42"/>
      <c r="I79" s="42"/>
      <c r="J79" s="42"/>
      <c r="K79" s="42"/>
    </row>
    <row r="80" spans="7:11">
      <c r="G80" s="42"/>
      <c r="H80" s="42"/>
      <c r="I80" s="42"/>
      <c r="J80" s="42"/>
      <c r="K80" s="42"/>
    </row>
    <row r="81" spans="7:11">
      <c r="G81" s="42"/>
      <c r="H81" s="42"/>
      <c r="I81" s="42"/>
      <c r="J81" s="42"/>
      <c r="K81" s="42"/>
    </row>
    <row r="82" spans="7:11">
      <c r="G82" s="42"/>
      <c r="H82" s="42"/>
      <c r="I82" s="42"/>
      <c r="J82" s="42"/>
      <c r="K82" s="42"/>
    </row>
    <row r="83" spans="7:11">
      <c r="G83" s="42"/>
      <c r="H83" s="42"/>
      <c r="I83" s="42"/>
      <c r="J83" s="42"/>
      <c r="K83" s="42"/>
    </row>
    <row r="84" spans="7:11">
      <c r="G84" s="42"/>
      <c r="H84" s="42"/>
      <c r="I84" s="42"/>
      <c r="J84" s="42"/>
      <c r="K84" s="42"/>
    </row>
    <row r="85" spans="7:11">
      <c r="G85" s="42"/>
      <c r="H85" s="42"/>
      <c r="I85" s="42"/>
      <c r="J85" s="42"/>
      <c r="K85" s="42"/>
    </row>
  </sheetData>
  <mergeCells count="14">
    <mergeCell ref="N34:Q36"/>
    <mergeCell ref="A35:F35"/>
    <mergeCell ref="A4:A5"/>
    <mergeCell ref="A1:Q1"/>
    <mergeCell ref="A2:Q2"/>
    <mergeCell ref="P4:Q4"/>
    <mergeCell ref="B4:B5"/>
    <mergeCell ref="D4:E4"/>
    <mergeCell ref="F4:G4"/>
    <mergeCell ref="H4:I4"/>
    <mergeCell ref="J4:K4"/>
    <mergeCell ref="L4:M4"/>
    <mergeCell ref="N4:O4"/>
    <mergeCell ref="C4:C5"/>
  </mergeCells>
  <phoneticPr fontId="0" type="noConversion"/>
  <conditionalFormatting sqref="A7:Q31">
    <cfRule type="cellIs" dxfId="0" priority="1" operator="equal">
      <formula>".."</formula>
    </cfRule>
  </conditionalFormatting>
  <printOptions horizontalCentered="1"/>
  <pageMargins left="0.4" right="0.1" top="0.54" bottom="0.1" header="0.27" footer="0.1"/>
  <pageSetup paperSize="9" orientation="landscape" blackAndWhite="1" r:id="rId1"/>
  <headerFooter alignWithMargins="0"/>
</worksheet>
</file>

<file path=xl/worksheets/sheet86.xml><?xml version="1.0" encoding="utf-8"?>
<worksheet xmlns="http://schemas.openxmlformats.org/spreadsheetml/2006/main" xmlns:r="http://schemas.openxmlformats.org/officeDocument/2006/relationships">
  <dimension ref="A1:I35"/>
  <sheetViews>
    <sheetView workbookViewId="0">
      <selection activeCell="K35" sqref="K35"/>
    </sheetView>
  </sheetViews>
  <sheetFormatPr defaultRowHeight="12.75"/>
  <cols>
    <col min="1" max="1" width="4.140625" style="1766" customWidth="1"/>
    <col min="2" max="2" width="15.85546875" style="1766" customWidth="1"/>
    <col min="3" max="3" width="9.42578125" style="1766" customWidth="1"/>
    <col min="4" max="4" width="9.7109375" style="1767" customWidth="1"/>
    <col min="5" max="5" width="11" style="1766" customWidth="1"/>
    <col min="6" max="6" width="10" style="1766" customWidth="1"/>
    <col min="7" max="7" width="9.140625" style="1766" customWidth="1"/>
    <col min="8" max="8" width="10.28515625" style="1766" customWidth="1"/>
    <col min="9" max="9" width="11.140625" style="1766" customWidth="1"/>
    <col min="10" max="10" width="11.7109375" style="1766" customWidth="1"/>
    <col min="11" max="256" width="9.140625" style="1766"/>
    <col min="257" max="257" width="4.140625" style="1766" customWidth="1"/>
    <col min="258" max="258" width="15.85546875" style="1766" customWidth="1"/>
    <col min="259" max="259" width="9.42578125" style="1766" customWidth="1"/>
    <col min="260" max="260" width="9.7109375" style="1766" customWidth="1"/>
    <col min="261" max="261" width="11" style="1766" customWidth="1"/>
    <col min="262" max="263" width="10.85546875" style="1766" customWidth="1"/>
    <col min="264" max="264" width="10.28515625" style="1766" customWidth="1"/>
    <col min="265" max="265" width="11.140625" style="1766" customWidth="1"/>
    <col min="266" max="266" width="11.7109375" style="1766" customWidth="1"/>
    <col min="267" max="512" width="9.140625" style="1766"/>
    <col min="513" max="513" width="4.140625" style="1766" customWidth="1"/>
    <col min="514" max="514" width="15.85546875" style="1766" customWidth="1"/>
    <col min="515" max="515" width="9.42578125" style="1766" customWidth="1"/>
    <col min="516" max="516" width="9.7109375" style="1766" customWidth="1"/>
    <col min="517" max="517" width="11" style="1766" customWidth="1"/>
    <col min="518" max="519" width="10.85546875" style="1766" customWidth="1"/>
    <col min="520" max="520" width="10.28515625" style="1766" customWidth="1"/>
    <col min="521" max="521" width="11.140625" style="1766" customWidth="1"/>
    <col min="522" max="522" width="11.7109375" style="1766" customWidth="1"/>
    <col min="523" max="768" width="9.140625" style="1766"/>
    <col min="769" max="769" width="4.140625" style="1766" customWidth="1"/>
    <col min="770" max="770" width="15.85546875" style="1766" customWidth="1"/>
    <col min="771" max="771" width="9.42578125" style="1766" customWidth="1"/>
    <col min="772" max="772" width="9.7109375" style="1766" customWidth="1"/>
    <col min="773" max="773" width="11" style="1766" customWidth="1"/>
    <col min="774" max="775" width="10.85546875" style="1766" customWidth="1"/>
    <col min="776" max="776" width="10.28515625" style="1766" customWidth="1"/>
    <col min="777" max="777" width="11.140625" style="1766" customWidth="1"/>
    <col min="778" max="778" width="11.7109375" style="1766" customWidth="1"/>
    <col min="779" max="1024" width="9.140625" style="1766"/>
    <col min="1025" max="1025" width="4.140625" style="1766" customWidth="1"/>
    <col min="1026" max="1026" width="15.85546875" style="1766" customWidth="1"/>
    <col min="1027" max="1027" width="9.42578125" style="1766" customWidth="1"/>
    <col min="1028" max="1028" width="9.7109375" style="1766" customWidth="1"/>
    <col min="1029" max="1029" width="11" style="1766" customWidth="1"/>
    <col min="1030" max="1031" width="10.85546875" style="1766" customWidth="1"/>
    <col min="1032" max="1032" width="10.28515625" style="1766" customWidth="1"/>
    <col min="1033" max="1033" width="11.140625" style="1766" customWidth="1"/>
    <col min="1034" max="1034" width="11.7109375" style="1766" customWidth="1"/>
    <col min="1035" max="1280" width="9.140625" style="1766"/>
    <col min="1281" max="1281" width="4.140625" style="1766" customWidth="1"/>
    <col min="1282" max="1282" width="15.85546875" style="1766" customWidth="1"/>
    <col min="1283" max="1283" width="9.42578125" style="1766" customWidth="1"/>
    <col min="1284" max="1284" width="9.7109375" style="1766" customWidth="1"/>
    <col min="1285" max="1285" width="11" style="1766" customWidth="1"/>
    <col min="1286" max="1287" width="10.85546875" style="1766" customWidth="1"/>
    <col min="1288" max="1288" width="10.28515625" style="1766" customWidth="1"/>
    <col min="1289" max="1289" width="11.140625" style="1766" customWidth="1"/>
    <col min="1290" max="1290" width="11.7109375" style="1766" customWidth="1"/>
    <col min="1291" max="1536" width="9.140625" style="1766"/>
    <col min="1537" max="1537" width="4.140625" style="1766" customWidth="1"/>
    <col min="1538" max="1538" width="15.85546875" style="1766" customWidth="1"/>
    <col min="1539" max="1539" width="9.42578125" style="1766" customWidth="1"/>
    <col min="1540" max="1540" width="9.7109375" style="1766" customWidth="1"/>
    <col min="1541" max="1541" width="11" style="1766" customWidth="1"/>
    <col min="1542" max="1543" width="10.85546875" style="1766" customWidth="1"/>
    <col min="1544" max="1544" width="10.28515625" style="1766" customWidth="1"/>
    <col min="1545" max="1545" width="11.140625" style="1766" customWidth="1"/>
    <col min="1546" max="1546" width="11.7109375" style="1766" customWidth="1"/>
    <col min="1547" max="1792" width="9.140625" style="1766"/>
    <col min="1793" max="1793" width="4.140625" style="1766" customWidth="1"/>
    <col min="1794" max="1794" width="15.85546875" style="1766" customWidth="1"/>
    <col min="1795" max="1795" width="9.42578125" style="1766" customWidth="1"/>
    <col min="1796" max="1796" width="9.7109375" style="1766" customWidth="1"/>
    <col min="1797" max="1797" width="11" style="1766" customWidth="1"/>
    <col min="1798" max="1799" width="10.85546875" style="1766" customWidth="1"/>
    <col min="1800" max="1800" width="10.28515625" style="1766" customWidth="1"/>
    <col min="1801" max="1801" width="11.140625" style="1766" customWidth="1"/>
    <col min="1802" max="1802" width="11.7109375" style="1766" customWidth="1"/>
    <col min="1803" max="2048" width="9.140625" style="1766"/>
    <col min="2049" max="2049" width="4.140625" style="1766" customWidth="1"/>
    <col min="2050" max="2050" width="15.85546875" style="1766" customWidth="1"/>
    <col min="2051" max="2051" width="9.42578125" style="1766" customWidth="1"/>
    <col min="2052" max="2052" width="9.7109375" style="1766" customWidth="1"/>
    <col min="2053" max="2053" width="11" style="1766" customWidth="1"/>
    <col min="2054" max="2055" width="10.85546875" style="1766" customWidth="1"/>
    <col min="2056" max="2056" width="10.28515625" style="1766" customWidth="1"/>
    <col min="2057" max="2057" width="11.140625" style="1766" customWidth="1"/>
    <col min="2058" max="2058" width="11.7109375" style="1766" customWidth="1"/>
    <col min="2059" max="2304" width="9.140625" style="1766"/>
    <col min="2305" max="2305" width="4.140625" style="1766" customWidth="1"/>
    <col min="2306" max="2306" width="15.85546875" style="1766" customWidth="1"/>
    <col min="2307" max="2307" width="9.42578125" style="1766" customWidth="1"/>
    <col min="2308" max="2308" width="9.7109375" style="1766" customWidth="1"/>
    <col min="2309" max="2309" width="11" style="1766" customWidth="1"/>
    <col min="2310" max="2311" width="10.85546875" style="1766" customWidth="1"/>
    <col min="2312" max="2312" width="10.28515625" style="1766" customWidth="1"/>
    <col min="2313" max="2313" width="11.140625" style="1766" customWidth="1"/>
    <col min="2314" max="2314" width="11.7109375" style="1766" customWidth="1"/>
    <col min="2315" max="2560" width="9.140625" style="1766"/>
    <col min="2561" max="2561" width="4.140625" style="1766" customWidth="1"/>
    <col min="2562" max="2562" width="15.85546875" style="1766" customWidth="1"/>
    <col min="2563" max="2563" width="9.42578125" style="1766" customWidth="1"/>
    <col min="2564" max="2564" width="9.7109375" style="1766" customWidth="1"/>
    <col min="2565" max="2565" width="11" style="1766" customWidth="1"/>
    <col min="2566" max="2567" width="10.85546875" style="1766" customWidth="1"/>
    <col min="2568" max="2568" width="10.28515625" style="1766" customWidth="1"/>
    <col min="2569" max="2569" width="11.140625" style="1766" customWidth="1"/>
    <col min="2570" max="2570" width="11.7109375" style="1766" customWidth="1"/>
    <col min="2571" max="2816" width="9.140625" style="1766"/>
    <col min="2817" max="2817" width="4.140625" style="1766" customWidth="1"/>
    <col min="2818" max="2818" width="15.85546875" style="1766" customWidth="1"/>
    <col min="2819" max="2819" width="9.42578125" style="1766" customWidth="1"/>
    <col min="2820" max="2820" width="9.7109375" style="1766" customWidth="1"/>
    <col min="2821" max="2821" width="11" style="1766" customWidth="1"/>
    <col min="2822" max="2823" width="10.85546875" style="1766" customWidth="1"/>
    <col min="2824" max="2824" width="10.28515625" style="1766" customWidth="1"/>
    <col min="2825" max="2825" width="11.140625" style="1766" customWidth="1"/>
    <col min="2826" max="2826" width="11.7109375" style="1766" customWidth="1"/>
    <col min="2827" max="3072" width="9.140625" style="1766"/>
    <col min="3073" max="3073" width="4.140625" style="1766" customWidth="1"/>
    <col min="3074" max="3074" width="15.85546875" style="1766" customWidth="1"/>
    <col min="3075" max="3075" width="9.42578125" style="1766" customWidth="1"/>
    <col min="3076" max="3076" width="9.7109375" style="1766" customWidth="1"/>
    <col min="3077" max="3077" width="11" style="1766" customWidth="1"/>
    <col min="3078" max="3079" width="10.85546875" style="1766" customWidth="1"/>
    <col min="3080" max="3080" width="10.28515625" style="1766" customWidth="1"/>
    <col min="3081" max="3081" width="11.140625" style="1766" customWidth="1"/>
    <col min="3082" max="3082" width="11.7109375" style="1766" customWidth="1"/>
    <col min="3083" max="3328" width="9.140625" style="1766"/>
    <col min="3329" max="3329" width="4.140625" style="1766" customWidth="1"/>
    <col min="3330" max="3330" width="15.85546875" style="1766" customWidth="1"/>
    <col min="3331" max="3331" width="9.42578125" style="1766" customWidth="1"/>
    <col min="3332" max="3332" width="9.7109375" style="1766" customWidth="1"/>
    <col min="3333" max="3333" width="11" style="1766" customWidth="1"/>
    <col min="3334" max="3335" width="10.85546875" style="1766" customWidth="1"/>
    <col min="3336" max="3336" width="10.28515625" style="1766" customWidth="1"/>
    <col min="3337" max="3337" width="11.140625" style="1766" customWidth="1"/>
    <col min="3338" max="3338" width="11.7109375" style="1766" customWidth="1"/>
    <col min="3339" max="3584" width="9.140625" style="1766"/>
    <col min="3585" max="3585" width="4.140625" style="1766" customWidth="1"/>
    <col min="3586" max="3586" width="15.85546875" style="1766" customWidth="1"/>
    <col min="3587" max="3587" width="9.42578125" style="1766" customWidth="1"/>
    <col min="3588" max="3588" width="9.7109375" style="1766" customWidth="1"/>
    <col min="3589" max="3589" width="11" style="1766" customWidth="1"/>
    <col min="3590" max="3591" width="10.85546875" style="1766" customWidth="1"/>
    <col min="3592" max="3592" width="10.28515625" style="1766" customWidth="1"/>
    <col min="3593" max="3593" width="11.140625" style="1766" customWidth="1"/>
    <col min="3594" max="3594" width="11.7109375" style="1766" customWidth="1"/>
    <col min="3595" max="3840" width="9.140625" style="1766"/>
    <col min="3841" max="3841" width="4.140625" style="1766" customWidth="1"/>
    <col min="3842" max="3842" width="15.85546875" style="1766" customWidth="1"/>
    <col min="3843" max="3843" width="9.42578125" style="1766" customWidth="1"/>
    <col min="3844" max="3844" width="9.7109375" style="1766" customWidth="1"/>
    <col min="3845" max="3845" width="11" style="1766" customWidth="1"/>
    <col min="3846" max="3847" width="10.85546875" style="1766" customWidth="1"/>
    <col min="3848" max="3848" width="10.28515625" style="1766" customWidth="1"/>
    <col min="3849" max="3849" width="11.140625" style="1766" customWidth="1"/>
    <col min="3850" max="3850" width="11.7109375" style="1766" customWidth="1"/>
    <col min="3851" max="4096" width="9.140625" style="1766"/>
    <col min="4097" max="4097" width="4.140625" style="1766" customWidth="1"/>
    <col min="4098" max="4098" width="15.85546875" style="1766" customWidth="1"/>
    <col min="4099" max="4099" width="9.42578125" style="1766" customWidth="1"/>
    <col min="4100" max="4100" width="9.7109375" style="1766" customWidth="1"/>
    <col min="4101" max="4101" width="11" style="1766" customWidth="1"/>
    <col min="4102" max="4103" width="10.85546875" style="1766" customWidth="1"/>
    <col min="4104" max="4104" width="10.28515625" style="1766" customWidth="1"/>
    <col min="4105" max="4105" width="11.140625" style="1766" customWidth="1"/>
    <col min="4106" max="4106" width="11.7109375" style="1766" customWidth="1"/>
    <col min="4107" max="4352" width="9.140625" style="1766"/>
    <col min="4353" max="4353" width="4.140625" style="1766" customWidth="1"/>
    <col min="4354" max="4354" width="15.85546875" style="1766" customWidth="1"/>
    <col min="4355" max="4355" width="9.42578125" style="1766" customWidth="1"/>
    <col min="4356" max="4356" width="9.7109375" style="1766" customWidth="1"/>
    <col min="4357" max="4357" width="11" style="1766" customWidth="1"/>
    <col min="4358" max="4359" width="10.85546875" style="1766" customWidth="1"/>
    <col min="4360" max="4360" width="10.28515625" style="1766" customWidth="1"/>
    <col min="4361" max="4361" width="11.140625" style="1766" customWidth="1"/>
    <col min="4362" max="4362" width="11.7109375" style="1766" customWidth="1"/>
    <col min="4363" max="4608" width="9.140625" style="1766"/>
    <col min="4609" max="4609" width="4.140625" style="1766" customWidth="1"/>
    <col min="4610" max="4610" width="15.85546875" style="1766" customWidth="1"/>
    <col min="4611" max="4611" width="9.42578125" style="1766" customWidth="1"/>
    <col min="4612" max="4612" width="9.7109375" style="1766" customWidth="1"/>
    <col min="4613" max="4613" width="11" style="1766" customWidth="1"/>
    <col min="4614" max="4615" width="10.85546875" style="1766" customWidth="1"/>
    <col min="4616" max="4616" width="10.28515625" style="1766" customWidth="1"/>
    <col min="4617" max="4617" width="11.140625" style="1766" customWidth="1"/>
    <col min="4618" max="4618" width="11.7109375" style="1766" customWidth="1"/>
    <col min="4619" max="4864" width="9.140625" style="1766"/>
    <col min="4865" max="4865" width="4.140625" style="1766" customWidth="1"/>
    <col min="4866" max="4866" width="15.85546875" style="1766" customWidth="1"/>
    <col min="4867" max="4867" width="9.42578125" style="1766" customWidth="1"/>
    <col min="4868" max="4868" width="9.7109375" style="1766" customWidth="1"/>
    <col min="4869" max="4869" width="11" style="1766" customWidth="1"/>
    <col min="4870" max="4871" width="10.85546875" style="1766" customWidth="1"/>
    <col min="4872" max="4872" width="10.28515625" style="1766" customWidth="1"/>
    <col min="4873" max="4873" width="11.140625" style="1766" customWidth="1"/>
    <col min="4874" max="4874" width="11.7109375" style="1766" customWidth="1"/>
    <col min="4875" max="5120" width="9.140625" style="1766"/>
    <col min="5121" max="5121" width="4.140625" style="1766" customWidth="1"/>
    <col min="5122" max="5122" width="15.85546875" style="1766" customWidth="1"/>
    <col min="5123" max="5123" width="9.42578125" style="1766" customWidth="1"/>
    <col min="5124" max="5124" width="9.7109375" style="1766" customWidth="1"/>
    <col min="5125" max="5125" width="11" style="1766" customWidth="1"/>
    <col min="5126" max="5127" width="10.85546875" style="1766" customWidth="1"/>
    <col min="5128" max="5128" width="10.28515625" style="1766" customWidth="1"/>
    <col min="5129" max="5129" width="11.140625" style="1766" customWidth="1"/>
    <col min="5130" max="5130" width="11.7109375" style="1766" customWidth="1"/>
    <col min="5131" max="5376" width="9.140625" style="1766"/>
    <col min="5377" max="5377" width="4.140625" style="1766" customWidth="1"/>
    <col min="5378" max="5378" width="15.85546875" style="1766" customWidth="1"/>
    <col min="5379" max="5379" width="9.42578125" style="1766" customWidth="1"/>
    <col min="5380" max="5380" width="9.7109375" style="1766" customWidth="1"/>
    <col min="5381" max="5381" width="11" style="1766" customWidth="1"/>
    <col min="5382" max="5383" width="10.85546875" style="1766" customWidth="1"/>
    <col min="5384" max="5384" width="10.28515625" style="1766" customWidth="1"/>
    <col min="5385" max="5385" width="11.140625" style="1766" customWidth="1"/>
    <col min="5386" max="5386" width="11.7109375" style="1766" customWidth="1"/>
    <col min="5387" max="5632" width="9.140625" style="1766"/>
    <col min="5633" max="5633" width="4.140625" style="1766" customWidth="1"/>
    <col min="5634" max="5634" width="15.85546875" style="1766" customWidth="1"/>
    <col min="5635" max="5635" width="9.42578125" style="1766" customWidth="1"/>
    <col min="5636" max="5636" width="9.7109375" style="1766" customWidth="1"/>
    <col min="5637" max="5637" width="11" style="1766" customWidth="1"/>
    <col min="5638" max="5639" width="10.85546875" style="1766" customWidth="1"/>
    <col min="5640" max="5640" width="10.28515625" style="1766" customWidth="1"/>
    <col min="5641" max="5641" width="11.140625" style="1766" customWidth="1"/>
    <col min="5642" max="5642" width="11.7109375" style="1766" customWidth="1"/>
    <col min="5643" max="5888" width="9.140625" style="1766"/>
    <col min="5889" max="5889" width="4.140625" style="1766" customWidth="1"/>
    <col min="5890" max="5890" width="15.85546875" style="1766" customWidth="1"/>
    <col min="5891" max="5891" width="9.42578125" style="1766" customWidth="1"/>
    <col min="5892" max="5892" width="9.7109375" style="1766" customWidth="1"/>
    <col min="5893" max="5893" width="11" style="1766" customWidth="1"/>
    <col min="5894" max="5895" width="10.85546875" style="1766" customWidth="1"/>
    <col min="5896" max="5896" width="10.28515625" style="1766" customWidth="1"/>
    <col min="5897" max="5897" width="11.140625" style="1766" customWidth="1"/>
    <col min="5898" max="5898" width="11.7109375" style="1766" customWidth="1"/>
    <col min="5899" max="6144" width="9.140625" style="1766"/>
    <col min="6145" max="6145" width="4.140625" style="1766" customWidth="1"/>
    <col min="6146" max="6146" width="15.85546875" style="1766" customWidth="1"/>
    <col min="6147" max="6147" width="9.42578125" style="1766" customWidth="1"/>
    <col min="6148" max="6148" width="9.7109375" style="1766" customWidth="1"/>
    <col min="6149" max="6149" width="11" style="1766" customWidth="1"/>
    <col min="6150" max="6151" width="10.85546875" style="1766" customWidth="1"/>
    <col min="6152" max="6152" width="10.28515625" style="1766" customWidth="1"/>
    <col min="6153" max="6153" width="11.140625" style="1766" customWidth="1"/>
    <col min="6154" max="6154" width="11.7109375" style="1766" customWidth="1"/>
    <col min="6155" max="6400" width="9.140625" style="1766"/>
    <col min="6401" max="6401" width="4.140625" style="1766" customWidth="1"/>
    <col min="6402" max="6402" width="15.85546875" style="1766" customWidth="1"/>
    <col min="6403" max="6403" width="9.42578125" style="1766" customWidth="1"/>
    <col min="6404" max="6404" width="9.7109375" style="1766" customWidth="1"/>
    <col min="6405" max="6405" width="11" style="1766" customWidth="1"/>
    <col min="6406" max="6407" width="10.85546875" style="1766" customWidth="1"/>
    <col min="6408" max="6408" width="10.28515625" style="1766" customWidth="1"/>
    <col min="6409" max="6409" width="11.140625" style="1766" customWidth="1"/>
    <col min="6410" max="6410" width="11.7109375" style="1766" customWidth="1"/>
    <col min="6411" max="6656" width="9.140625" style="1766"/>
    <col min="6657" max="6657" width="4.140625" style="1766" customWidth="1"/>
    <col min="6658" max="6658" width="15.85546875" style="1766" customWidth="1"/>
    <col min="6659" max="6659" width="9.42578125" style="1766" customWidth="1"/>
    <col min="6660" max="6660" width="9.7109375" style="1766" customWidth="1"/>
    <col min="6661" max="6661" width="11" style="1766" customWidth="1"/>
    <col min="6662" max="6663" width="10.85546875" style="1766" customWidth="1"/>
    <col min="6664" max="6664" width="10.28515625" style="1766" customWidth="1"/>
    <col min="6665" max="6665" width="11.140625" style="1766" customWidth="1"/>
    <col min="6666" max="6666" width="11.7109375" style="1766" customWidth="1"/>
    <col min="6667" max="6912" width="9.140625" style="1766"/>
    <col min="6913" max="6913" width="4.140625" style="1766" customWidth="1"/>
    <col min="6914" max="6914" width="15.85546875" style="1766" customWidth="1"/>
    <col min="6915" max="6915" width="9.42578125" style="1766" customWidth="1"/>
    <col min="6916" max="6916" width="9.7109375" style="1766" customWidth="1"/>
    <col min="6917" max="6917" width="11" style="1766" customWidth="1"/>
    <col min="6918" max="6919" width="10.85546875" style="1766" customWidth="1"/>
    <col min="6920" max="6920" width="10.28515625" style="1766" customWidth="1"/>
    <col min="6921" max="6921" width="11.140625" style="1766" customWidth="1"/>
    <col min="6922" max="6922" width="11.7109375" style="1766" customWidth="1"/>
    <col min="6923" max="7168" width="9.140625" style="1766"/>
    <col min="7169" max="7169" width="4.140625" style="1766" customWidth="1"/>
    <col min="7170" max="7170" width="15.85546875" style="1766" customWidth="1"/>
    <col min="7171" max="7171" width="9.42578125" style="1766" customWidth="1"/>
    <col min="7172" max="7172" width="9.7109375" style="1766" customWidth="1"/>
    <col min="7173" max="7173" width="11" style="1766" customWidth="1"/>
    <col min="7174" max="7175" width="10.85546875" style="1766" customWidth="1"/>
    <col min="7176" max="7176" width="10.28515625" style="1766" customWidth="1"/>
    <col min="7177" max="7177" width="11.140625" style="1766" customWidth="1"/>
    <col min="7178" max="7178" width="11.7109375" style="1766" customWidth="1"/>
    <col min="7179" max="7424" width="9.140625" style="1766"/>
    <col min="7425" max="7425" width="4.140625" style="1766" customWidth="1"/>
    <col min="7426" max="7426" width="15.85546875" style="1766" customWidth="1"/>
    <col min="7427" max="7427" width="9.42578125" style="1766" customWidth="1"/>
    <col min="7428" max="7428" width="9.7109375" style="1766" customWidth="1"/>
    <col min="7429" max="7429" width="11" style="1766" customWidth="1"/>
    <col min="7430" max="7431" width="10.85546875" style="1766" customWidth="1"/>
    <col min="7432" max="7432" width="10.28515625" style="1766" customWidth="1"/>
    <col min="7433" max="7433" width="11.140625" style="1766" customWidth="1"/>
    <col min="7434" max="7434" width="11.7109375" style="1766" customWidth="1"/>
    <col min="7435" max="7680" width="9.140625" style="1766"/>
    <col min="7681" max="7681" width="4.140625" style="1766" customWidth="1"/>
    <col min="7682" max="7682" width="15.85546875" style="1766" customWidth="1"/>
    <col min="7683" max="7683" width="9.42578125" style="1766" customWidth="1"/>
    <col min="7684" max="7684" width="9.7109375" style="1766" customWidth="1"/>
    <col min="7685" max="7685" width="11" style="1766" customWidth="1"/>
    <col min="7686" max="7687" width="10.85546875" style="1766" customWidth="1"/>
    <col min="7688" max="7688" width="10.28515625" style="1766" customWidth="1"/>
    <col min="7689" max="7689" width="11.140625" style="1766" customWidth="1"/>
    <col min="7690" max="7690" width="11.7109375" style="1766" customWidth="1"/>
    <col min="7691" max="7936" width="9.140625" style="1766"/>
    <col min="7937" max="7937" width="4.140625" style="1766" customWidth="1"/>
    <col min="7938" max="7938" width="15.85546875" style="1766" customWidth="1"/>
    <col min="7939" max="7939" width="9.42578125" style="1766" customWidth="1"/>
    <col min="7940" max="7940" width="9.7109375" style="1766" customWidth="1"/>
    <col min="7941" max="7941" width="11" style="1766" customWidth="1"/>
    <col min="7942" max="7943" width="10.85546875" style="1766" customWidth="1"/>
    <col min="7944" max="7944" width="10.28515625" style="1766" customWidth="1"/>
    <col min="7945" max="7945" width="11.140625" style="1766" customWidth="1"/>
    <col min="7946" max="7946" width="11.7109375" style="1766" customWidth="1"/>
    <col min="7947" max="8192" width="9.140625" style="1766"/>
    <col min="8193" max="8193" width="4.140625" style="1766" customWidth="1"/>
    <col min="8194" max="8194" width="15.85546875" style="1766" customWidth="1"/>
    <col min="8195" max="8195" width="9.42578125" style="1766" customWidth="1"/>
    <col min="8196" max="8196" width="9.7109375" style="1766" customWidth="1"/>
    <col min="8197" max="8197" width="11" style="1766" customWidth="1"/>
    <col min="8198" max="8199" width="10.85546875" style="1766" customWidth="1"/>
    <col min="8200" max="8200" width="10.28515625" style="1766" customWidth="1"/>
    <col min="8201" max="8201" width="11.140625" style="1766" customWidth="1"/>
    <col min="8202" max="8202" width="11.7109375" style="1766" customWidth="1"/>
    <col min="8203" max="8448" width="9.140625" style="1766"/>
    <col min="8449" max="8449" width="4.140625" style="1766" customWidth="1"/>
    <col min="8450" max="8450" width="15.85546875" style="1766" customWidth="1"/>
    <col min="8451" max="8451" width="9.42578125" style="1766" customWidth="1"/>
    <col min="8452" max="8452" width="9.7109375" style="1766" customWidth="1"/>
    <col min="8453" max="8453" width="11" style="1766" customWidth="1"/>
    <col min="8454" max="8455" width="10.85546875" style="1766" customWidth="1"/>
    <col min="8456" max="8456" width="10.28515625" style="1766" customWidth="1"/>
    <col min="8457" max="8457" width="11.140625" style="1766" customWidth="1"/>
    <col min="8458" max="8458" width="11.7109375" style="1766" customWidth="1"/>
    <col min="8459" max="8704" width="9.140625" style="1766"/>
    <col min="8705" max="8705" width="4.140625" style="1766" customWidth="1"/>
    <col min="8706" max="8706" width="15.85546875" style="1766" customWidth="1"/>
    <col min="8707" max="8707" width="9.42578125" style="1766" customWidth="1"/>
    <col min="8708" max="8708" width="9.7109375" style="1766" customWidth="1"/>
    <col min="8709" max="8709" width="11" style="1766" customWidth="1"/>
    <col min="8710" max="8711" width="10.85546875" style="1766" customWidth="1"/>
    <col min="8712" max="8712" width="10.28515625" style="1766" customWidth="1"/>
    <col min="8713" max="8713" width="11.140625" style="1766" customWidth="1"/>
    <col min="8714" max="8714" width="11.7109375" style="1766" customWidth="1"/>
    <col min="8715" max="8960" width="9.140625" style="1766"/>
    <col min="8961" max="8961" width="4.140625" style="1766" customWidth="1"/>
    <col min="8962" max="8962" width="15.85546875" style="1766" customWidth="1"/>
    <col min="8963" max="8963" width="9.42578125" style="1766" customWidth="1"/>
    <col min="8964" max="8964" width="9.7109375" style="1766" customWidth="1"/>
    <col min="8965" max="8965" width="11" style="1766" customWidth="1"/>
    <col min="8966" max="8967" width="10.85546875" style="1766" customWidth="1"/>
    <col min="8968" max="8968" width="10.28515625" style="1766" customWidth="1"/>
    <col min="8969" max="8969" width="11.140625" style="1766" customWidth="1"/>
    <col min="8970" max="8970" width="11.7109375" style="1766" customWidth="1"/>
    <col min="8971" max="9216" width="9.140625" style="1766"/>
    <col min="9217" max="9217" width="4.140625" style="1766" customWidth="1"/>
    <col min="9218" max="9218" width="15.85546875" style="1766" customWidth="1"/>
    <col min="9219" max="9219" width="9.42578125" style="1766" customWidth="1"/>
    <col min="9220" max="9220" width="9.7109375" style="1766" customWidth="1"/>
    <col min="9221" max="9221" width="11" style="1766" customWidth="1"/>
    <col min="9222" max="9223" width="10.85546875" style="1766" customWidth="1"/>
    <col min="9224" max="9224" width="10.28515625" style="1766" customWidth="1"/>
    <col min="9225" max="9225" width="11.140625" style="1766" customWidth="1"/>
    <col min="9226" max="9226" width="11.7109375" style="1766" customWidth="1"/>
    <col min="9227" max="9472" width="9.140625" style="1766"/>
    <col min="9473" max="9473" width="4.140625" style="1766" customWidth="1"/>
    <col min="9474" max="9474" width="15.85546875" style="1766" customWidth="1"/>
    <col min="9475" max="9475" width="9.42578125" style="1766" customWidth="1"/>
    <col min="9476" max="9476" width="9.7109375" style="1766" customWidth="1"/>
    <col min="9477" max="9477" width="11" style="1766" customWidth="1"/>
    <col min="9478" max="9479" width="10.85546875" style="1766" customWidth="1"/>
    <col min="9480" max="9480" width="10.28515625" style="1766" customWidth="1"/>
    <col min="9481" max="9481" width="11.140625" style="1766" customWidth="1"/>
    <col min="9482" max="9482" width="11.7109375" style="1766" customWidth="1"/>
    <col min="9483" max="9728" width="9.140625" style="1766"/>
    <col min="9729" max="9729" width="4.140625" style="1766" customWidth="1"/>
    <col min="9730" max="9730" width="15.85546875" style="1766" customWidth="1"/>
    <col min="9731" max="9731" width="9.42578125" style="1766" customWidth="1"/>
    <col min="9732" max="9732" width="9.7109375" style="1766" customWidth="1"/>
    <col min="9733" max="9733" width="11" style="1766" customWidth="1"/>
    <col min="9734" max="9735" width="10.85546875" style="1766" customWidth="1"/>
    <col min="9736" max="9736" width="10.28515625" style="1766" customWidth="1"/>
    <col min="9737" max="9737" width="11.140625" style="1766" customWidth="1"/>
    <col min="9738" max="9738" width="11.7109375" style="1766" customWidth="1"/>
    <col min="9739" max="9984" width="9.140625" style="1766"/>
    <col min="9985" max="9985" width="4.140625" style="1766" customWidth="1"/>
    <col min="9986" max="9986" width="15.85546875" style="1766" customWidth="1"/>
    <col min="9987" max="9987" width="9.42578125" style="1766" customWidth="1"/>
    <col min="9988" max="9988" width="9.7109375" style="1766" customWidth="1"/>
    <col min="9989" max="9989" width="11" style="1766" customWidth="1"/>
    <col min="9990" max="9991" width="10.85546875" style="1766" customWidth="1"/>
    <col min="9992" max="9992" width="10.28515625" style="1766" customWidth="1"/>
    <col min="9993" max="9993" width="11.140625" style="1766" customWidth="1"/>
    <col min="9994" max="9994" width="11.7109375" style="1766" customWidth="1"/>
    <col min="9995" max="10240" width="9.140625" style="1766"/>
    <col min="10241" max="10241" width="4.140625" style="1766" customWidth="1"/>
    <col min="10242" max="10242" width="15.85546875" style="1766" customWidth="1"/>
    <col min="10243" max="10243" width="9.42578125" style="1766" customWidth="1"/>
    <col min="10244" max="10244" width="9.7109375" style="1766" customWidth="1"/>
    <col min="10245" max="10245" width="11" style="1766" customWidth="1"/>
    <col min="10246" max="10247" width="10.85546875" style="1766" customWidth="1"/>
    <col min="10248" max="10248" width="10.28515625" style="1766" customWidth="1"/>
    <col min="10249" max="10249" width="11.140625" style="1766" customWidth="1"/>
    <col min="10250" max="10250" width="11.7109375" style="1766" customWidth="1"/>
    <col min="10251" max="10496" width="9.140625" style="1766"/>
    <col min="10497" max="10497" width="4.140625" style="1766" customWidth="1"/>
    <col min="10498" max="10498" width="15.85546875" style="1766" customWidth="1"/>
    <col min="10499" max="10499" width="9.42578125" style="1766" customWidth="1"/>
    <col min="10500" max="10500" width="9.7109375" style="1766" customWidth="1"/>
    <col min="10501" max="10501" width="11" style="1766" customWidth="1"/>
    <col min="10502" max="10503" width="10.85546875" style="1766" customWidth="1"/>
    <col min="10504" max="10504" width="10.28515625" style="1766" customWidth="1"/>
    <col min="10505" max="10505" width="11.140625" style="1766" customWidth="1"/>
    <col min="10506" max="10506" width="11.7109375" style="1766" customWidth="1"/>
    <col min="10507" max="10752" width="9.140625" style="1766"/>
    <col min="10753" max="10753" width="4.140625" style="1766" customWidth="1"/>
    <col min="10754" max="10754" width="15.85546875" style="1766" customWidth="1"/>
    <col min="10755" max="10755" width="9.42578125" style="1766" customWidth="1"/>
    <col min="10756" max="10756" width="9.7109375" style="1766" customWidth="1"/>
    <col min="10757" max="10757" width="11" style="1766" customWidth="1"/>
    <col min="10758" max="10759" width="10.85546875" style="1766" customWidth="1"/>
    <col min="10760" max="10760" width="10.28515625" style="1766" customWidth="1"/>
    <col min="10761" max="10761" width="11.140625" style="1766" customWidth="1"/>
    <col min="10762" max="10762" width="11.7109375" style="1766" customWidth="1"/>
    <col min="10763" max="11008" width="9.140625" style="1766"/>
    <col min="11009" max="11009" width="4.140625" style="1766" customWidth="1"/>
    <col min="11010" max="11010" width="15.85546875" style="1766" customWidth="1"/>
    <col min="11011" max="11011" width="9.42578125" style="1766" customWidth="1"/>
    <col min="11012" max="11012" width="9.7109375" style="1766" customWidth="1"/>
    <col min="11013" max="11013" width="11" style="1766" customWidth="1"/>
    <col min="11014" max="11015" width="10.85546875" style="1766" customWidth="1"/>
    <col min="11016" max="11016" width="10.28515625" style="1766" customWidth="1"/>
    <col min="11017" max="11017" width="11.140625" style="1766" customWidth="1"/>
    <col min="11018" max="11018" width="11.7109375" style="1766" customWidth="1"/>
    <col min="11019" max="11264" width="9.140625" style="1766"/>
    <col min="11265" max="11265" width="4.140625" style="1766" customWidth="1"/>
    <col min="11266" max="11266" width="15.85546875" style="1766" customWidth="1"/>
    <col min="11267" max="11267" width="9.42578125" style="1766" customWidth="1"/>
    <col min="11268" max="11268" width="9.7109375" style="1766" customWidth="1"/>
    <col min="11269" max="11269" width="11" style="1766" customWidth="1"/>
    <col min="11270" max="11271" width="10.85546875" style="1766" customWidth="1"/>
    <col min="11272" max="11272" width="10.28515625" style="1766" customWidth="1"/>
    <col min="11273" max="11273" width="11.140625" style="1766" customWidth="1"/>
    <col min="11274" max="11274" width="11.7109375" style="1766" customWidth="1"/>
    <col min="11275" max="11520" width="9.140625" style="1766"/>
    <col min="11521" max="11521" width="4.140625" style="1766" customWidth="1"/>
    <col min="11522" max="11522" width="15.85546875" style="1766" customWidth="1"/>
    <col min="11523" max="11523" width="9.42578125" style="1766" customWidth="1"/>
    <col min="11524" max="11524" width="9.7109375" style="1766" customWidth="1"/>
    <col min="11525" max="11525" width="11" style="1766" customWidth="1"/>
    <col min="11526" max="11527" width="10.85546875" style="1766" customWidth="1"/>
    <col min="11528" max="11528" width="10.28515625" style="1766" customWidth="1"/>
    <col min="11529" max="11529" width="11.140625" style="1766" customWidth="1"/>
    <col min="11530" max="11530" width="11.7109375" style="1766" customWidth="1"/>
    <col min="11531" max="11776" width="9.140625" style="1766"/>
    <col min="11777" max="11777" width="4.140625" style="1766" customWidth="1"/>
    <col min="11778" max="11778" width="15.85546875" style="1766" customWidth="1"/>
    <col min="11779" max="11779" width="9.42578125" style="1766" customWidth="1"/>
    <col min="11780" max="11780" width="9.7109375" style="1766" customWidth="1"/>
    <col min="11781" max="11781" width="11" style="1766" customWidth="1"/>
    <col min="11782" max="11783" width="10.85546875" style="1766" customWidth="1"/>
    <col min="11784" max="11784" width="10.28515625" style="1766" customWidth="1"/>
    <col min="11785" max="11785" width="11.140625" style="1766" customWidth="1"/>
    <col min="11786" max="11786" width="11.7109375" style="1766" customWidth="1"/>
    <col min="11787" max="12032" width="9.140625" style="1766"/>
    <col min="12033" max="12033" width="4.140625" style="1766" customWidth="1"/>
    <col min="12034" max="12034" width="15.85546875" style="1766" customWidth="1"/>
    <col min="12035" max="12035" width="9.42578125" style="1766" customWidth="1"/>
    <col min="12036" max="12036" width="9.7109375" style="1766" customWidth="1"/>
    <col min="12037" max="12037" width="11" style="1766" customWidth="1"/>
    <col min="12038" max="12039" width="10.85546875" style="1766" customWidth="1"/>
    <col min="12040" max="12040" width="10.28515625" style="1766" customWidth="1"/>
    <col min="12041" max="12041" width="11.140625" style="1766" customWidth="1"/>
    <col min="12042" max="12042" width="11.7109375" style="1766" customWidth="1"/>
    <col min="12043" max="12288" width="9.140625" style="1766"/>
    <col min="12289" max="12289" width="4.140625" style="1766" customWidth="1"/>
    <col min="12290" max="12290" width="15.85546875" style="1766" customWidth="1"/>
    <col min="12291" max="12291" width="9.42578125" style="1766" customWidth="1"/>
    <col min="12292" max="12292" width="9.7109375" style="1766" customWidth="1"/>
    <col min="12293" max="12293" width="11" style="1766" customWidth="1"/>
    <col min="12294" max="12295" width="10.85546875" style="1766" customWidth="1"/>
    <col min="12296" max="12296" width="10.28515625" style="1766" customWidth="1"/>
    <col min="12297" max="12297" width="11.140625" style="1766" customWidth="1"/>
    <col min="12298" max="12298" width="11.7109375" style="1766" customWidth="1"/>
    <col min="12299" max="12544" width="9.140625" style="1766"/>
    <col min="12545" max="12545" width="4.140625" style="1766" customWidth="1"/>
    <col min="12546" max="12546" width="15.85546875" style="1766" customWidth="1"/>
    <col min="12547" max="12547" width="9.42578125" style="1766" customWidth="1"/>
    <col min="12548" max="12548" width="9.7109375" style="1766" customWidth="1"/>
    <col min="12549" max="12549" width="11" style="1766" customWidth="1"/>
    <col min="12550" max="12551" width="10.85546875" style="1766" customWidth="1"/>
    <col min="12552" max="12552" width="10.28515625" style="1766" customWidth="1"/>
    <col min="12553" max="12553" width="11.140625" style="1766" customWidth="1"/>
    <col min="12554" max="12554" width="11.7109375" style="1766" customWidth="1"/>
    <col min="12555" max="12800" width="9.140625" style="1766"/>
    <col min="12801" max="12801" width="4.140625" style="1766" customWidth="1"/>
    <col min="12802" max="12802" width="15.85546875" style="1766" customWidth="1"/>
    <col min="12803" max="12803" width="9.42578125" style="1766" customWidth="1"/>
    <col min="12804" max="12804" width="9.7109375" style="1766" customWidth="1"/>
    <col min="12805" max="12805" width="11" style="1766" customWidth="1"/>
    <col min="12806" max="12807" width="10.85546875" style="1766" customWidth="1"/>
    <col min="12808" max="12808" width="10.28515625" style="1766" customWidth="1"/>
    <col min="12809" max="12809" width="11.140625" style="1766" customWidth="1"/>
    <col min="12810" max="12810" width="11.7109375" style="1766" customWidth="1"/>
    <col min="12811" max="13056" width="9.140625" style="1766"/>
    <col min="13057" max="13057" width="4.140625" style="1766" customWidth="1"/>
    <col min="13058" max="13058" width="15.85546875" style="1766" customWidth="1"/>
    <col min="13059" max="13059" width="9.42578125" style="1766" customWidth="1"/>
    <col min="13060" max="13060" width="9.7109375" style="1766" customWidth="1"/>
    <col min="13061" max="13061" width="11" style="1766" customWidth="1"/>
    <col min="13062" max="13063" width="10.85546875" style="1766" customWidth="1"/>
    <col min="13064" max="13064" width="10.28515625" style="1766" customWidth="1"/>
    <col min="13065" max="13065" width="11.140625" style="1766" customWidth="1"/>
    <col min="13066" max="13066" width="11.7109375" style="1766" customWidth="1"/>
    <col min="13067" max="13312" width="9.140625" style="1766"/>
    <col min="13313" max="13313" width="4.140625" style="1766" customWidth="1"/>
    <col min="13314" max="13314" width="15.85546875" style="1766" customWidth="1"/>
    <col min="13315" max="13315" width="9.42578125" style="1766" customWidth="1"/>
    <col min="13316" max="13316" width="9.7109375" style="1766" customWidth="1"/>
    <col min="13317" max="13317" width="11" style="1766" customWidth="1"/>
    <col min="13318" max="13319" width="10.85546875" style="1766" customWidth="1"/>
    <col min="13320" max="13320" width="10.28515625" style="1766" customWidth="1"/>
    <col min="13321" max="13321" width="11.140625" style="1766" customWidth="1"/>
    <col min="13322" max="13322" width="11.7109375" style="1766" customWidth="1"/>
    <col min="13323" max="13568" width="9.140625" style="1766"/>
    <col min="13569" max="13569" width="4.140625" style="1766" customWidth="1"/>
    <col min="13570" max="13570" width="15.85546875" style="1766" customWidth="1"/>
    <col min="13571" max="13571" width="9.42578125" style="1766" customWidth="1"/>
    <col min="13572" max="13572" width="9.7109375" style="1766" customWidth="1"/>
    <col min="13573" max="13573" width="11" style="1766" customWidth="1"/>
    <col min="13574" max="13575" width="10.85546875" style="1766" customWidth="1"/>
    <col min="13576" max="13576" width="10.28515625" style="1766" customWidth="1"/>
    <col min="13577" max="13577" width="11.140625" style="1766" customWidth="1"/>
    <col min="13578" max="13578" width="11.7109375" style="1766" customWidth="1"/>
    <col min="13579" max="13824" width="9.140625" style="1766"/>
    <col min="13825" max="13825" width="4.140625" style="1766" customWidth="1"/>
    <col min="13826" max="13826" width="15.85546875" style="1766" customWidth="1"/>
    <col min="13827" max="13827" width="9.42578125" style="1766" customWidth="1"/>
    <col min="13828" max="13828" width="9.7109375" style="1766" customWidth="1"/>
    <col min="13829" max="13829" width="11" style="1766" customWidth="1"/>
    <col min="13830" max="13831" width="10.85546875" style="1766" customWidth="1"/>
    <col min="13832" max="13832" width="10.28515625" style="1766" customWidth="1"/>
    <col min="13833" max="13833" width="11.140625" style="1766" customWidth="1"/>
    <col min="13834" max="13834" width="11.7109375" style="1766" customWidth="1"/>
    <col min="13835" max="14080" width="9.140625" style="1766"/>
    <col min="14081" max="14081" width="4.140625" style="1766" customWidth="1"/>
    <col min="14082" max="14082" width="15.85546875" style="1766" customWidth="1"/>
    <col min="14083" max="14083" width="9.42578125" style="1766" customWidth="1"/>
    <col min="14084" max="14084" width="9.7109375" style="1766" customWidth="1"/>
    <col min="14085" max="14085" width="11" style="1766" customWidth="1"/>
    <col min="14086" max="14087" width="10.85546875" style="1766" customWidth="1"/>
    <col min="14088" max="14088" width="10.28515625" style="1766" customWidth="1"/>
    <col min="14089" max="14089" width="11.140625" style="1766" customWidth="1"/>
    <col min="14090" max="14090" width="11.7109375" style="1766" customWidth="1"/>
    <col min="14091" max="14336" width="9.140625" style="1766"/>
    <col min="14337" max="14337" width="4.140625" style="1766" customWidth="1"/>
    <col min="14338" max="14338" width="15.85546875" style="1766" customWidth="1"/>
    <col min="14339" max="14339" width="9.42578125" style="1766" customWidth="1"/>
    <col min="14340" max="14340" width="9.7109375" style="1766" customWidth="1"/>
    <col min="14341" max="14341" width="11" style="1766" customWidth="1"/>
    <col min="14342" max="14343" width="10.85546875" style="1766" customWidth="1"/>
    <col min="14344" max="14344" width="10.28515625" style="1766" customWidth="1"/>
    <col min="14345" max="14345" width="11.140625" style="1766" customWidth="1"/>
    <col min="14346" max="14346" width="11.7109375" style="1766" customWidth="1"/>
    <col min="14347" max="14592" width="9.140625" style="1766"/>
    <col min="14593" max="14593" width="4.140625" style="1766" customWidth="1"/>
    <col min="14594" max="14594" width="15.85546875" style="1766" customWidth="1"/>
    <col min="14595" max="14595" width="9.42578125" style="1766" customWidth="1"/>
    <col min="14596" max="14596" width="9.7109375" style="1766" customWidth="1"/>
    <col min="14597" max="14597" width="11" style="1766" customWidth="1"/>
    <col min="14598" max="14599" width="10.85546875" style="1766" customWidth="1"/>
    <col min="14600" max="14600" width="10.28515625" style="1766" customWidth="1"/>
    <col min="14601" max="14601" width="11.140625" style="1766" customWidth="1"/>
    <col min="14602" max="14602" width="11.7109375" style="1766" customWidth="1"/>
    <col min="14603" max="14848" width="9.140625" style="1766"/>
    <col min="14849" max="14849" width="4.140625" style="1766" customWidth="1"/>
    <col min="14850" max="14850" width="15.85546875" style="1766" customWidth="1"/>
    <col min="14851" max="14851" width="9.42578125" style="1766" customWidth="1"/>
    <col min="14852" max="14852" width="9.7109375" style="1766" customWidth="1"/>
    <col min="14853" max="14853" width="11" style="1766" customWidth="1"/>
    <col min="14854" max="14855" width="10.85546875" style="1766" customWidth="1"/>
    <col min="14856" max="14856" width="10.28515625" style="1766" customWidth="1"/>
    <col min="14857" max="14857" width="11.140625" style="1766" customWidth="1"/>
    <col min="14858" max="14858" width="11.7109375" style="1766" customWidth="1"/>
    <col min="14859" max="15104" width="9.140625" style="1766"/>
    <col min="15105" max="15105" width="4.140625" style="1766" customWidth="1"/>
    <col min="15106" max="15106" width="15.85546875" style="1766" customWidth="1"/>
    <col min="15107" max="15107" width="9.42578125" style="1766" customWidth="1"/>
    <col min="15108" max="15108" width="9.7109375" style="1766" customWidth="1"/>
    <col min="15109" max="15109" width="11" style="1766" customWidth="1"/>
    <col min="15110" max="15111" width="10.85546875" style="1766" customWidth="1"/>
    <col min="15112" max="15112" width="10.28515625" style="1766" customWidth="1"/>
    <col min="15113" max="15113" width="11.140625" style="1766" customWidth="1"/>
    <col min="15114" max="15114" width="11.7109375" style="1766" customWidth="1"/>
    <col min="15115" max="15360" width="9.140625" style="1766"/>
    <col min="15361" max="15361" width="4.140625" style="1766" customWidth="1"/>
    <col min="15362" max="15362" width="15.85546875" style="1766" customWidth="1"/>
    <col min="15363" max="15363" width="9.42578125" style="1766" customWidth="1"/>
    <col min="15364" max="15364" width="9.7109375" style="1766" customWidth="1"/>
    <col min="15365" max="15365" width="11" style="1766" customWidth="1"/>
    <col min="15366" max="15367" width="10.85546875" style="1766" customWidth="1"/>
    <col min="15368" max="15368" width="10.28515625" style="1766" customWidth="1"/>
    <col min="15369" max="15369" width="11.140625" style="1766" customWidth="1"/>
    <col min="15370" max="15370" width="11.7109375" style="1766" customWidth="1"/>
    <col min="15371" max="15616" width="9.140625" style="1766"/>
    <col min="15617" max="15617" width="4.140625" style="1766" customWidth="1"/>
    <col min="15618" max="15618" width="15.85546875" style="1766" customWidth="1"/>
    <col min="15619" max="15619" width="9.42578125" style="1766" customWidth="1"/>
    <col min="15620" max="15620" width="9.7109375" style="1766" customWidth="1"/>
    <col min="15621" max="15621" width="11" style="1766" customWidth="1"/>
    <col min="15622" max="15623" width="10.85546875" style="1766" customWidth="1"/>
    <col min="15624" max="15624" width="10.28515625" style="1766" customWidth="1"/>
    <col min="15625" max="15625" width="11.140625" style="1766" customWidth="1"/>
    <col min="15626" max="15626" width="11.7109375" style="1766" customWidth="1"/>
    <col min="15627" max="15872" width="9.140625" style="1766"/>
    <col min="15873" max="15873" width="4.140625" style="1766" customWidth="1"/>
    <col min="15874" max="15874" width="15.85546875" style="1766" customWidth="1"/>
    <col min="15875" max="15875" width="9.42578125" style="1766" customWidth="1"/>
    <col min="15876" max="15876" width="9.7109375" style="1766" customWidth="1"/>
    <col min="15877" max="15877" width="11" style="1766" customWidth="1"/>
    <col min="15878" max="15879" width="10.85546875" style="1766" customWidth="1"/>
    <col min="15880" max="15880" width="10.28515625" style="1766" customWidth="1"/>
    <col min="15881" max="15881" width="11.140625" style="1766" customWidth="1"/>
    <col min="15882" max="15882" width="11.7109375" style="1766" customWidth="1"/>
    <col min="15883" max="16128" width="9.140625" style="1766"/>
    <col min="16129" max="16129" width="4.140625" style="1766" customWidth="1"/>
    <col min="16130" max="16130" width="15.85546875" style="1766" customWidth="1"/>
    <col min="16131" max="16131" width="9.42578125" style="1766" customWidth="1"/>
    <col min="16132" max="16132" width="9.7109375" style="1766" customWidth="1"/>
    <col min="16133" max="16133" width="11" style="1766" customWidth="1"/>
    <col min="16134" max="16135" width="10.85546875" style="1766" customWidth="1"/>
    <col min="16136" max="16136" width="10.28515625" style="1766" customWidth="1"/>
    <col min="16137" max="16137" width="11.140625" style="1766" customWidth="1"/>
    <col min="16138" max="16138" width="11.7109375" style="1766" customWidth="1"/>
    <col min="16139" max="16384" width="9.140625" style="1766"/>
  </cols>
  <sheetData>
    <row r="1" spans="1:9" ht="16.5" customHeight="1">
      <c r="A1" s="1825" t="s">
        <v>555</v>
      </c>
      <c r="B1" s="1825"/>
      <c r="C1" s="1825"/>
      <c r="D1" s="1825"/>
      <c r="E1" s="1825"/>
      <c r="F1" s="1825"/>
      <c r="G1" s="1825"/>
      <c r="H1" s="1825"/>
      <c r="I1" s="1825"/>
    </row>
    <row r="2" spans="1:9" ht="21.75" customHeight="1">
      <c r="A2" s="1830" t="str">
        <f>CONCATENATE("Particulars of Fisheries in the Blocks of ",District!$A$1," for the year ",District!B3)</f>
        <v>Particulars of Fisheries in the Blocks of Purba Medinipur for the year 2013-14</v>
      </c>
      <c r="B2" s="1830"/>
      <c r="C2" s="1830"/>
      <c r="D2" s="1830"/>
      <c r="E2" s="1830"/>
      <c r="F2" s="1830"/>
      <c r="G2" s="1830"/>
      <c r="H2" s="1830"/>
      <c r="I2" s="1830"/>
    </row>
    <row r="3" spans="1:9" ht="15.95" customHeight="1">
      <c r="A3" s="1833" t="s">
        <v>33</v>
      </c>
      <c r="B3" s="1833" t="s">
        <v>391</v>
      </c>
      <c r="C3" s="1930" t="s">
        <v>34</v>
      </c>
      <c r="D3" s="2424" t="s">
        <v>35</v>
      </c>
      <c r="E3" s="1929" t="s">
        <v>1477</v>
      </c>
      <c r="F3" s="1929" t="s">
        <v>36</v>
      </c>
      <c r="G3" s="1929" t="s">
        <v>37</v>
      </c>
      <c r="H3" s="1833" t="s">
        <v>38</v>
      </c>
      <c r="I3" s="1833" t="s">
        <v>39</v>
      </c>
    </row>
    <row r="4" spans="1:9" ht="15.95" customHeight="1">
      <c r="A4" s="2423"/>
      <c r="B4" s="2380"/>
      <c r="C4" s="1935"/>
      <c r="D4" s="2425"/>
      <c r="E4" s="1934"/>
      <c r="F4" s="1934"/>
      <c r="G4" s="1934"/>
      <c r="H4" s="1870"/>
      <c r="I4" s="1870"/>
    </row>
    <row r="5" spans="1:9" ht="15.95" customHeight="1">
      <c r="A5" s="2423"/>
      <c r="B5" s="2380"/>
      <c r="C5" s="1935"/>
      <c r="D5" s="2425"/>
      <c r="E5" s="1934"/>
      <c r="F5" s="1934"/>
      <c r="G5" s="1934"/>
      <c r="H5" s="1870"/>
      <c r="I5" s="1870"/>
    </row>
    <row r="6" spans="1:9" ht="15.95" customHeight="1">
      <c r="A6" s="2423"/>
      <c r="B6" s="2380"/>
      <c r="C6" s="1935"/>
      <c r="D6" s="2425"/>
      <c r="E6" s="1934"/>
      <c r="F6" s="1934"/>
      <c r="G6" s="1934"/>
      <c r="H6" s="1870"/>
      <c r="I6" s="1870"/>
    </row>
    <row r="7" spans="1:9" ht="15.95" customHeight="1">
      <c r="A7" s="2174"/>
      <c r="B7" s="1928"/>
      <c r="C7" s="1935"/>
      <c r="D7" s="2425"/>
      <c r="E7" s="1934"/>
      <c r="F7" s="1934"/>
      <c r="G7" s="1934"/>
      <c r="H7" s="1870"/>
      <c r="I7" s="1834"/>
    </row>
    <row r="8" spans="1:9" ht="15.95" customHeight="1">
      <c r="A8" s="134" t="s">
        <v>955</v>
      </c>
      <c r="B8" s="134" t="s">
        <v>956</v>
      </c>
      <c r="C8" s="1746" t="s">
        <v>957</v>
      </c>
      <c r="D8" s="444" t="s">
        <v>958</v>
      </c>
      <c r="E8" s="134" t="s">
        <v>959</v>
      </c>
      <c r="F8" s="1745" t="s">
        <v>961</v>
      </c>
      <c r="G8" s="1745" t="s">
        <v>962</v>
      </c>
      <c r="H8" s="134" t="s">
        <v>990</v>
      </c>
      <c r="I8" s="134" t="s">
        <v>991</v>
      </c>
    </row>
    <row r="9" spans="1:9" ht="24" customHeight="1">
      <c r="A9" s="848">
        <v>1</v>
      </c>
      <c r="B9" s="942" t="s">
        <v>200</v>
      </c>
      <c r="C9" s="147">
        <v>18</v>
      </c>
      <c r="D9" s="844">
        <v>2025</v>
      </c>
      <c r="E9" s="844">
        <v>2025</v>
      </c>
      <c r="F9" s="1508">
        <v>1168</v>
      </c>
      <c r="G9" s="1508">
        <v>876</v>
      </c>
      <c r="H9" s="1741">
        <v>4126</v>
      </c>
      <c r="I9" s="1764">
        <v>33375.599999999999</v>
      </c>
    </row>
    <row r="10" spans="1:9" ht="24" customHeight="1">
      <c r="A10" s="788">
        <v>2</v>
      </c>
      <c r="B10" s="942" t="s">
        <v>1386</v>
      </c>
      <c r="C10" s="147">
        <v>17</v>
      </c>
      <c r="D10" s="844">
        <v>1529</v>
      </c>
      <c r="E10" s="844">
        <v>1529</v>
      </c>
      <c r="F10" s="1508">
        <v>680.4</v>
      </c>
      <c r="G10" s="1508">
        <v>510.3</v>
      </c>
      <c r="H10" s="1741">
        <v>2860</v>
      </c>
      <c r="I10" s="1764">
        <v>19442.400000000001</v>
      </c>
    </row>
    <row r="11" spans="1:9" ht="24" customHeight="1">
      <c r="A11" s="788">
        <v>3</v>
      </c>
      <c r="B11" s="942" t="s">
        <v>1388</v>
      </c>
      <c r="C11" s="147">
        <v>18</v>
      </c>
      <c r="D11" s="844">
        <v>1953</v>
      </c>
      <c r="E11" s="844">
        <v>1953</v>
      </c>
      <c r="F11" s="1508">
        <v>1010.3</v>
      </c>
      <c r="G11" s="1508">
        <v>757.72500000000002</v>
      </c>
      <c r="H11" s="1741">
        <v>3940</v>
      </c>
      <c r="I11" s="1764">
        <v>28869.3</v>
      </c>
    </row>
    <row r="12" spans="1:9" ht="24" customHeight="1">
      <c r="A12" s="788">
        <v>4</v>
      </c>
      <c r="B12" s="943" t="s">
        <v>1568</v>
      </c>
      <c r="C12" s="147">
        <v>18</v>
      </c>
      <c r="D12" s="844">
        <v>2026</v>
      </c>
      <c r="E12" s="844">
        <v>2026</v>
      </c>
      <c r="F12" s="1508">
        <v>1022.25</v>
      </c>
      <c r="G12" s="1508">
        <v>766.6875</v>
      </c>
      <c r="H12" s="1741">
        <v>4112</v>
      </c>
      <c r="I12" s="1764">
        <v>29210.799999999999</v>
      </c>
    </row>
    <row r="13" spans="1:9" ht="24" customHeight="1">
      <c r="A13" s="788">
        <v>5</v>
      </c>
      <c r="B13" s="942" t="s">
        <v>1390</v>
      </c>
      <c r="C13" s="147">
        <v>18</v>
      </c>
      <c r="D13" s="844">
        <v>2062</v>
      </c>
      <c r="E13" s="844">
        <v>2062</v>
      </c>
      <c r="F13" s="1508">
        <v>1900.6</v>
      </c>
      <c r="G13" s="1508">
        <v>1425.45</v>
      </c>
      <c r="H13" s="1741">
        <v>6890</v>
      </c>
      <c r="I13" s="1764">
        <v>54309.599999999999</v>
      </c>
    </row>
    <row r="14" spans="1:9" ht="24" customHeight="1">
      <c r="A14" s="788">
        <v>6</v>
      </c>
      <c r="B14" s="942" t="s">
        <v>1391</v>
      </c>
      <c r="C14" s="147">
        <v>18</v>
      </c>
      <c r="D14" s="844">
        <v>2034</v>
      </c>
      <c r="E14" s="844">
        <v>2034</v>
      </c>
      <c r="F14" s="1508">
        <v>950</v>
      </c>
      <c r="G14" s="1508">
        <v>712.5</v>
      </c>
      <c r="H14" s="1741">
        <v>3880</v>
      </c>
      <c r="I14" s="1764">
        <v>27146.3</v>
      </c>
    </row>
    <row r="15" spans="1:9" ht="24" customHeight="1">
      <c r="A15" s="788">
        <v>7</v>
      </c>
      <c r="B15" s="944" t="s">
        <v>1392</v>
      </c>
      <c r="C15" s="147">
        <v>18</v>
      </c>
      <c r="D15" s="844">
        <v>2334</v>
      </c>
      <c r="E15" s="844">
        <v>2334</v>
      </c>
      <c r="F15" s="1508">
        <v>1400</v>
      </c>
      <c r="G15" s="1508">
        <v>1050</v>
      </c>
      <c r="H15" s="1741">
        <v>6440</v>
      </c>
      <c r="I15" s="1764">
        <v>40005</v>
      </c>
    </row>
    <row r="16" spans="1:9" ht="24" customHeight="1">
      <c r="A16" s="788">
        <v>8</v>
      </c>
      <c r="B16" s="942" t="s">
        <v>1393</v>
      </c>
      <c r="C16" s="147">
        <v>17</v>
      </c>
      <c r="D16" s="844">
        <v>1579</v>
      </c>
      <c r="E16" s="844">
        <v>1579</v>
      </c>
      <c r="F16" s="1508">
        <v>1160</v>
      </c>
      <c r="G16" s="1508">
        <v>870</v>
      </c>
      <c r="H16" s="1741">
        <v>4458</v>
      </c>
      <c r="I16" s="1764">
        <v>33147</v>
      </c>
    </row>
    <row r="17" spans="1:9" ht="24" customHeight="1">
      <c r="A17" s="788">
        <v>9</v>
      </c>
      <c r="B17" s="942" t="s">
        <v>1395</v>
      </c>
      <c r="C17" s="147">
        <v>17</v>
      </c>
      <c r="D17" s="844">
        <v>1608</v>
      </c>
      <c r="E17" s="844">
        <v>1608</v>
      </c>
      <c r="F17" s="1508">
        <v>1400.6</v>
      </c>
      <c r="G17" s="1508">
        <v>1050.45</v>
      </c>
      <c r="H17" s="1741">
        <v>6520</v>
      </c>
      <c r="I17" s="1764">
        <v>40022.1</v>
      </c>
    </row>
    <row r="18" spans="1:9" ht="24" customHeight="1">
      <c r="A18" s="788">
        <v>10</v>
      </c>
      <c r="B18" s="942" t="s">
        <v>1396</v>
      </c>
      <c r="C18" s="147">
        <v>17</v>
      </c>
      <c r="D18" s="844">
        <v>1510</v>
      </c>
      <c r="E18" s="844">
        <v>1510</v>
      </c>
      <c r="F18" s="1508">
        <v>800</v>
      </c>
      <c r="G18" s="1508">
        <v>600</v>
      </c>
      <c r="H18" s="1741">
        <v>3355</v>
      </c>
      <c r="I18" s="1764">
        <v>22860</v>
      </c>
    </row>
    <row r="19" spans="1:9" ht="24" customHeight="1">
      <c r="A19" s="788">
        <v>11</v>
      </c>
      <c r="B19" s="942" t="s">
        <v>1397</v>
      </c>
      <c r="C19" s="147">
        <v>17</v>
      </c>
      <c r="D19" s="844">
        <v>2099</v>
      </c>
      <c r="E19" s="844">
        <v>2099</v>
      </c>
      <c r="F19" s="1508">
        <v>630.79999999999995</v>
      </c>
      <c r="G19" s="1508">
        <v>473.1</v>
      </c>
      <c r="H19" s="1741">
        <v>3030</v>
      </c>
      <c r="I19" s="1764">
        <v>18025.099999999999</v>
      </c>
    </row>
    <row r="20" spans="1:9" ht="24" customHeight="1">
      <c r="A20" s="788">
        <v>12</v>
      </c>
      <c r="B20" s="942" t="s">
        <v>1399</v>
      </c>
      <c r="C20" s="147">
        <v>20</v>
      </c>
      <c r="D20" s="844">
        <v>2162</v>
      </c>
      <c r="E20" s="844">
        <v>2162</v>
      </c>
      <c r="F20" s="1698">
        <v>1000.4</v>
      </c>
      <c r="G20" s="1508">
        <v>750.3</v>
      </c>
      <c r="H20" s="1741">
        <v>3156</v>
      </c>
      <c r="I20" s="1764">
        <v>28586.400000000001</v>
      </c>
    </row>
    <row r="21" spans="1:9" ht="24" customHeight="1">
      <c r="A21" s="788">
        <v>13</v>
      </c>
      <c r="B21" s="942" t="s">
        <v>1269</v>
      </c>
      <c r="C21" s="147">
        <v>18</v>
      </c>
      <c r="D21" s="844">
        <v>2095</v>
      </c>
      <c r="E21" s="844">
        <v>2095</v>
      </c>
      <c r="F21" s="1508">
        <v>2460.6999999999998</v>
      </c>
      <c r="G21" s="1508">
        <v>1845.5250000000001</v>
      </c>
      <c r="H21" s="1741">
        <v>8350</v>
      </c>
      <c r="I21" s="1764">
        <v>70314.5</v>
      </c>
    </row>
    <row r="22" spans="1:9" ht="24" customHeight="1">
      <c r="A22" s="788">
        <v>14</v>
      </c>
      <c r="B22" s="942" t="s">
        <v>1270</v>
      </c>
      <c r="C22" s="147">
        <v>18</v>
      </c>
      <c r="D22" s="844">
        <v>2132</v>
      </c>
      <c r="E22" s="844">
        <v>2132</v>
      </c>
      <c r="F22" s="1508">
        <v>1100</v>
      </c>
      <c r="G22" s="1508">
        <v>825</v>
      </c>
      <c r="H22" s="1741">
        <v>4025</v>
      </c>
      <c r="I22" s="1764">
        <v>31432.5</v>
      </c>
    </row>
    <row r="23" spans="1:9" ht="24" customHeight="1">
      <c r="A23" s="788">
        <v>15</v>
      </c>
      <c r="B23" s="942" t="s">
        <v>1412</v>
      </c>
      <c r="C23" s="147">
        <v>18</v>
      </c>
      <c r="D23" s="844">
        <v>2096</v>
      </c>
      <c r="E23" s="844">
        <v>2096</v>
      </c>
      <c r="F23" s="1508">
        <v>1200.3</v>
      </c>
      <c r="G23" s="1508">
        <v>900.22500000000002</v>
      </c>
      <c r="H23" s="1741">
        <v>5668</v>
      </c>
      <c r="I23" s="1764">
        <v>34298.6</v>
      </c>
    </row>
    <row r="24" spans="1:9" ht="24" customHeight="1">
      <c r="A24" s="788">
        <v>16</v>
      </c>
      <c r="B24" s="942" t="s">
        <v>1413</v>
      </c>
      <c r="C24" s="147">
        <v>18</v>
      </c>
      <c r="D24" s="844">
        <v>2564</v>
      </c>
      <c r="E24" s="844">
        <v>2564</v>
      </c>
      <c r="F24" s="1508">
        <v>980.2</v>
      </c>
      <c r="G24" s="1508">
        <v>735.15</v>
      </c>
      <c r="H24" s="1741">
        <v>1990</v>
      </c>
      <c r="I24" s="1764">
        <v>28009.200000000001</v>
      </c>
    </row>
    <row r="25" spans="1:9" ht="24" customHeight="1">
      <c r="A25" s="788">
        <v>17</v>
      </c>
      <c r="B25" s="942" t="s">
        <v>1414</v>
      </c>
      <c r="C25" s="147">
        <v>19</v>
      </c>
      <c r="D25" s="844">
        <v>2208</v>
      </c>
      <c r="E25" s="844">
        <v>2208</v>
      </c>
      <c r="F25" s="1508">
        <v>3600.6</v>
      </c>
      <c r="G25" s="1508">
        <v>2700.45</v>
      </c>
      <c r="H25" s="1741">
        <v>6720</v>
      </c>
      <c r="I25" s="1764">
        <v>102887.1</v>
      </c>
    </row>
    <row r="26" spans="1:9" ht="24" customHeight="1">
      <c r="A26" s="788">
        <v>18</v>
      </c>
      <c r="B26" s="942" t="s">
        <v>1419</v>
      </c>
      <c r="C26" s="147">
        <v>17</v>
      </c>
      <c r="D26" s="844">
        <v>2249</v>
      </c>
      <c r="E26" s="844">
        <v>2249</v>
      </c>
      <c r="F26" s="1508">
        <v>960.2</v>
      </c>
      <c r="G26" s="1508">
        <v>720.15</v>
      </c>
      <c r="H26" s="1741">
        <v>3615</v>
      </c>
      <c r="I26" s="1764">
        <v>27437.7</v>
      </c>
    </row>
    <row r="27" spans="1:9" ht="24" customHeight="1">
      <c r="A27" s="788">
        <v>19</v>
      </c>
      <c r="B27" s="942" t="s">
        <v>1420</v>
      </c>
      <c r="C27" s="147">
        <v>19</v>
      </c>
      <c r="D27" s="844">
        <v>1931</v>
      </c>
      <c r="E27" s="844">
        <v>1931</v>
      </c>
      <c r="F27" s="1508">
        <v>940.5</v>
      </c>
      <c r="G27" s="1508">
        <v>705.375</v>
      </c>
      <c r="H27" s="1741">
        <v>3730</v>
      </c>
      <c r="I27" s="1764">
        <v>26874.799999999999</v>
      </c>
    </row>
    <row r="28" spans="1:9" ht="24" customHeight="1">
      <c r="A28" s="788">
        <v>20</v>
      </c>
      <c r="B28" s="942" t="s">
        <v>1422</v>
      </c>
      <c r="C28" s="147">
        <v>17</v>
      </c>
      <c r="D28" s="844">
        <v>2002</v>
      </c>
      <c r="E28" s="844">
        <v>2002</v>
      </c>
      <c r="F28" s="1508">
        <v>1170.5999999999999</v>
      </c>
      <c r="G28" s="1508">
        <v>877.95</v>
      </c>
      <c r="H28" s="1741">
        <v>5050</v>
      </c>
      <c r="I28" s="1764">
        <v>33449.9</v>
      </c>
    </row>
    <row r="29" spans="1:9" ht="24" customHeight="1">
      <c r="A29" s="788">
        <v>21</v>
      </c>
      <c r="B29" s="942" t="s">
        <v>1423</v>
      </c>
      <c r="C29" s="147">
        <v>17</v>
      </c>
      <c r="D29" s="844">
        <v>2390</v>
      </c>
      <c r="E29" s="844">
        <v>2390</v>
      </c>
      <c r="F29" s="1508">
        <v>730.7</v>
      </c>
      <c r="G29" s="1508">
        <v>548.02499999999998</v>
      </c>
      <c r="H29" s="1741">
        <v>2870</v>
      </c>
      <c r="I29" s="1764">
        <v>20879.8</v>
      </c>
    </row>
    <row r="30" spans="1:9" ht="24" customHeight="1">
      <c r="A30" s="788">
        <v>22</v>
      </c>
      <c r="B30" s="942" t="s">
        <v>1425</v>
      </c>
      <c r="C30" s="147">
        <v>17</v>
      </c>
      <c r="D30" s="844">
        <v>2275</v>
      </c>
      <c r="E30" s="844">
        <v>2275</v>
      </c>
      <c r="F30" s="1508">
        <v>980.75</v>
      </c>
      <c r="G30" s="1508">
        <v>735.5625</v>
      </c>
      <c r="H30" s="1741">
        <v>3300</v>
      </c>
      <c r="I30" s="1764">
        <v>28024.9</v>
      </c>
    </row>
    <row r="31" spans="1:9" ht="24" customHeight="1">
      <c r="A31" s="788">
        <v>23</v>
      </c>
      <c r="B31" s="942" t="s">
        <v>1426</v>
      </c>
      <c r="C31" s="147">
        <v>18</v>
      </c>
      <c r="D31" s="844">
        <v>2019</v>
      </c>
      <c r="E31" s="844">
        <v>2019</v>
      </c>
      <c r="F31" s="1508">
        <v>1400.7</v>
      </c>
      <c r="G31" s="1508">
        <v>1050.5250000000001</v>
      </c>
      <c r="H31" s="1741">
        <v>6225</v>
      </c>
      <c r="I31" s="1764">
        <v>40025</v>
      </c>
    </row>
    <row r="32" spans="1:9" ht="24" customHeight="1">
      <c r="A32" s="788">
        <v>24</v>
      </c>
      <c r="B32" s="942" t="s">
        <v>263</v>
      </c>
      <c r="C32" s="147">
        <v>17</v>
      </c>
      <c r="D32" s="844">
        <v>3152</v>
      </c>
      <c r="E32" s="844">
        <v>3152</v>
      </c>
      <c r="F32" s="1508">
        <v>900.25</v>
      </c>
      <c r="G32" s="1508">
        <v>675.1875</v>
      </c>
      <c r="H32" s="1741">
        <v>3150</v>
      </c>
      <c r="I32" s="1764">
        <v>25724.6</v>
      </c>
    </row>
    <row r="33" spans="1:9" ht="24" customHeight="1">
      <c r="A33" s="789">
        <v>25</v>
      </c>
      <c r="B33" s="945" t="s">
        <v>1429</v>
      </c>
      <c r="C33" s="1748">
        <v>18</v>
      </c>
      <c r="D33" s="845">
        <v>2193</v>
      </c>
      <c r="E33" s="845">
        <v>2193</v>
      </c>
      <c r="F33" s="847">
        <v>1000.8</v>
      </c>
      <c r="G33" s="847">
        <v>750.6</v>
      </c>
      <c r="H33" s="1750">
        <v>2755</v>
      </c>
      <c r="I33" s="1765">
        <v>28597.9</v>
      </c>
    </row>
    <row r="34" spans="1:9">
      <c r="F34" s="319"/>
      <c r="G34" s="319"/>
      <c r="H34" s="319"/>
      <c r="I34" s="1063" t="s">
        <v>112</v>
      </c>
    </row>
    <row r="35" spans="1:9">
      <c r="E35" s="319"/>
      <c r="F35" s="319"/>
      <c r="G35" s="319"/>
      <c r="H35" s="319"/>
      <c r="I35" s="319"/>
    </row>
  </sheetData>
  <mergeCells count="11">
    <mergeCell ref="I3:I7"/>
    <mergeCell ref="A1:I1"/>
    <mergeCell ref="A2:I2"/>
    <mergeCell ref="A3:A7"/>
    <mergeCell ref="B3:B7"/>
    <mergeCell ref="C3:C7"/>
    <mergeCell ref="D3:D7"/>
    <mergeCell ref="E3:E7"/>
    <mergeCell ref="F3:F7"/>
    <mergeCell ref="G3:G7"/>
    <mergeCell ref="H3:H7"/>
  </mergeCells>
  <printOptions horizontalCentered="1"/>
  <pageMargins left="0.1" right="0.1" top="0.77" bottom="0.1" header="0.75" footer="0.1"/>
  <pageSetup paperSize="9" orientation="portrait" blackAndWhite="1" r:id="rId1"/>
  <headerFooter alignWithMargins="0"/>
</worksheet>
</file>

<file path=xl/worksheets/sheet87.xml><?xml version="1.0" encoding="utf-8"?>
<worksheet xmlns="http://schemas.openxmlformats.org/spreadsheetml/2006/main" xmlns:r="http://schemas.openxmlformats.org/officeDocument/2006/relationships">
  <dimension ref="A1:I35"/>
  <sheetViews>
    <sheetView workbookViewId="0">
      <selection activeCell="K35" sqref="K35"/>
    </sheetView>
  </sheetViews>
  <sheetFormatPr defaultRowHeight="12.75"/>
  <cols>
    <col min="1" max="1" width="4.7109375" customWidth="1"/>
    <col min="2" max="2" width="20" customWidth="1"/>
    <col min="3" max="3" width="10" customWidth="1"/>
    <col min="4" max="4" width="10.85546875" customWidth="1"/>
    <col min="5" max="5" width="10.7109375" customWidth="1"/>
    <col min="6" max="6" width="10" customWidth="1"/>
    <col min="7" max="7" width="8.85546875" customWidth="1"/>
    <col min="8" max="8" width="10.7109375" customWidth="1"/>
    <col min="9" max="9" width="9" customWidth="1"/>
  </cols>
  <sheetData>
    <row r="1" spans="1:9" ht="25.5" customHeight="1">
      <c r="A1" s="1825" t="s">
        <v>814</v>
      </c>
      <c r="B1" s="1825"/>
      <c r="C1" s="1825"/>
      <c r="D1" s="1825"/>
      <c r="E1" s="1825"/>
      <c r="F1" s="1825"/>
      <c r="G1" s="1825"/>
      <c r="H1" s="1825"/>
    </row>
    <row r="2" spans="1:9">
      <c r="A2" s="2078" t="str">
        <f>CONCATENATE("Estimated Number of Live-stock and Poultry in the Blocks
 of Purba Medinipur for the year ",District!B3,)</f>
        <v>Estimated Number of Live-stock and Poultry in the Blocks
 of Purba Medinipur for the year 2013-14</v>
      </c>
      <c r="B2" s="2078"/>
      <c r="C2" s="2078"/>
      <c r="D2" s="2078"/>
      <c r="E2" s="2078"/>
      <c r="F2" s="2078"/>
      <c r="G2" s="2078"/>
      <c r="H2" s="2078"/>
    </row>
    <row r="3" spans="1:9" ht="19.5" customHeight="1">
      <c r="A3" s="2428"/>
      <c r="B3" s="2428"/>
      <c r="C3" s="2428"/>
      <c r="D3" s="2428"/>
      <c r="E3" s="2428"/>
      <c r="F3" s="2428"/>
      <c r="G3" s="2428"/>
      <c r="H3" s="2428"/>
    </row>
    <row r="4" spans="1:9" ht="15.95" customHeight="1">
      <c r="A4" s="1833" t="s">
        <v>166</v>
      </c>
      <c r="B4" s="1833" t="s">
        <v>27</v>
      </c>
      <c r="C4" s="1829" t="s">
        <v>1333</v>
      </c>
      <c r="D4" s="1827"/>
      <c r="E4" s="1827"/>
      <c r="F4" s="1827"/>
      <c r="G4" s="1828"/>
      <c r="H4" s="1833" t="s">
        <v>1334</v>
      </c>
    </row>
    <row r="5" spans="1:9" ht="15.95" customHeight="1">
      <c r="A5" s="1832"/>
      <c r="B5" s="1832"/>
      <c r="C5" s="412" t="s">
        <v>409</v>
      </c>
      <c r="D5" s="405" t="s">
        <v>410</v>
      </c>
      <c r="E5" s="405" t="s">
        <v>141</v>
      </c>
      <c r="F5" s="164" t="s">
        <v>323</v>
      </c>
      <c r="G5" s="160" t="s">
        <v>1128</v>
      </c>
      <c r="H5" s="1832"/>
    </row>
    <row r="6" spans="1:9" ht="15.95" customHeight="1">
      <c r="A6" s="1443" t="s">
        <v>955</v>
      </c>
      <c r="B6" s="1444" t="s">
        <v>956</v>
      </c>
      <c r="C6" s="1445" t="s">
        <v>957</v>
      </c>
      <c r="D6" s="1445" t="s">
        <v>958</v>
      </c>
      <c r="E6" s="1304" t="s">
        <v>959</v>
      </c>
      <c r="F6" s="1445" t="s">
        <v>961</v>
      </c>
      <c r="G6" s="1443" t="s">
        <v>962</v>
      </c>
      <c r="H6" s="1443" t="s">
        <v>990</v>
      </c>
      <c r="I6" s="555"/>
    </row>
    <row r="7" spans="1:9" ht="23.25" customHeight="1">
      <c r="A7" s="848">
        <v>1</v>
      </c>
      <c r="B7" s="1044" t="s">
        <v>200</v>
      </c>
      <c r="C7" s="92">
        <v>57259</v>
      </c>
      <c r="D7" s="1055" t="s">
        <v>1384</v>
      </c>
      <c r="E7" s="92">
        <v>13670</v>
      </c>
      <c r="F7" s="1055">
        <v>64</v>
      </c>
      <c r="G7" s="1401" t="s">
        <v>1384</v>
      </c>
      <c r="H7" s="92">
        <v>131570</v>
      </c>
    </row>
    <row r="8" spans="1:9" ht="23.25" customHeight="1">
      <c r="A8" s="788">
        <v>2</v>
      </c>
      <c r="B8" s="1044" t="s">
        <v>1386</v>
      </c>
      <c r="C8" s="110">
        <v>51102</v>
      </c>
      <c r="D8" s="46">
        <v>9</v>
      </c>
      <c r="E8" s="110">
        <v>9941</v>
      </c>
      <c r="F8" s="46">
        <v>22</v>
      </c>
      <c r="G8" s="110">
        <v>102</v>
      </c>
      <c r="H8" s="110">
        <v>85711</v>
      </c>
    </row>
    <row r="9" spans="1:9" ht="23.25" customHeight="1">
      <c r="A9" s="788">
        <v>3</v>
      </c>
      <c r="B9" s="1044" t="s">
        <v>1388</v>
      </c>
      <c r="C9" s="110">
        <v>150287</v>
      </c>
      <c r="D9" s="46">
        <v>88</v>
      </c>
      <c r="E9" s="110">
        <v>55436</v>
      </c>
      <c r="F9" s="46">
        <v>273</v>
      </c>
      <c r="G9" s="110">
        <v>770</v>
      </c>
      <c r="H9" s="110">
        <v>355147</v>
      </c>
    </row>
    <row r="10" spans="1:9" ht="23.25" customHeight="1">
      <c r="A10" s="788">
        <v>4</v>
      </c>
      <c r="B10" s="1044" t="s">
        <v>1385</v>
      </c>
      <c r="C10" s="110">
        <v>75633</v>
      </c>
      <c r="D10" s="46">
        <v>74</v>
      </c>
      <c r="E10" s="110">
        <v>19936</v>
      </c>
      <c r="F10" s="46">
        <v>41</v>
      </c>
      <c r="G10" s="110">
        <v>105</v>
      </c>
      <c r="H10" s="110">
        <v>139475</v>
      </c>
    </row>
    <row r="11" spans="1:9" ht="23.25" customHeight="1">
      <c r="A11" s="788">
        <v>5</v>
      </c>
      <c r="B11" s="1044" t="s">
        <v>1390</v>
      </c>
      <c r="C11" s="110">
        <v>74032</v>
      </c>
      <c r="D11" s="46">
        <v>5</v>
      </c>
      <c r="E11" s="110">
        <v>14731</v>
      </c>
      <c r="F11" s="46">
        <v>89</v>
      </c>
      <c r="G11" s="110">
        <v>21</v>
      </c>
      <c r="H11" s="110">
        <v>116706</v>
      </c>
    </row>
    <row r="12" spans="1:9" ht="23.25" customHeight="1">
      <c r="A12" s="788">
        <v>6</v>
      </c>
      <c r="B12" s="1044" t="s">
        <v>1391</v>
      </c>
      <c r="C12" s="110">
        <v>61039</v>
      </c>
      <c r="D12" s="1510" t="s">
        <v>1384</v>
      </c>
      <c r="E12" s="110">
        <v>17812</v>
      </c>
      <c r="F12" s="46">
        <v>222</v>
      </c>
      <c r="G12" s="110">
        <v>34</v>
      </c>
      <c r="H12" s="110">
        <v>219053</v>
      </c>
    </row>
    <row r="13" spans="1:9" ht="23.25" customHeight="1">
      <c r="A13" s="788">
        <v>7</v>
      </c>
      <c r="B13" s="1044" t="s">
        <v>1392</v>
      </c>
      <c r="C13" s="110">
        <v>64542</v>
      </c>
      <c r="D13" s="1510" t="s">
        <v>1384</v>
      </c>
      <c r="E13" s="110">
        <v>18773</v>
      </c>
      <c r="F13" s="46">
        <v>102</v>
      </c>
      <c r="G13" s="110">
        <v>527</v>
      </c>
      <c r="H13" s="110">
        <v>172024</v>
      </c>
    </row>
    <row r="14" spans="1:9" ht="23.25" customHeight="1">
      <c r="A14" s="788">
        <v>8</v>
      </c>
      <c r="B14" s="1044" t="s">
        <v>1393</v>
      </c>
      <c r="C14" s="110">
        <v>50071</v>
      </c>
      <c r="D14" s="1510" t="s">
        <v>1384</v>
      </c>
      <c r="E14" s="110">
        <v>18714</v>
      </c>
      <c r="F14" s="46">
        <v>51</v>
      </c>
      <c r="G14" s="110">
        <v>75</v>
      </c>
      <c r="H14" s="110">
        <v>104506</v>
      </c>
    </row>
    <row r="15" spans="1:9" ht="23.25" customHeight="1">
      <c r="A15" s="788">
        <v>9</v>
      </c>
      <c r="B15" s="1044" t="s">
        <v>1395</v>
      </c>
      <c r="C15" s="110">
        <v>46872</v>
      </c>
      <c r="D15" s="1510" t="s">
        <v>1384</v>
      </c>
      <c r="E15" s="110">
        <v>34529</v>
      </c>
      <c r="F15" s="117">
        <v>4012</v>
      </c>
      <c r="G15" s="110">
        <v>30</v>
      </c>
      <c r="H15" s="110">
        <v>151680</v>
      </c>
    </row>
    <row r="16" spans="1:9" ht="23.25" customHeight="1">
      <c r="A16" s="788">
        <v>10</v>
      </c>
      <c r="B16" s="1044" t="s">
        <v>1396</v>
      </c>
      <c r="C16" s="110">
        <v>42981</v>
      </c>
      <c r="D16" s="46">
        <v>7</v>
      </c>
      <c r="E16" s="110">
        <v>35785</v>
      </c>
      <c r="F16" s="46">
        <v>901</v>
      </c>
      <c r="G16" s="110">
        <v>70</v>
      </c>
      <c r="H16" s="110">
        <v>293174</v>
      </c>
    </row>
    <row r="17" spans="1:8" ht="23.25" customHeight="1">
      <c r="A17" s="788">
        <v>11</v>
      </c>
      <c r="B17" s="1044" t="s">
        <v>1397</v>
      </c>
      <c r="C17" s="110">
        <v>45976</v>
      </c>
      <c r="D17" s="46">
        <v>71</v>
      </c>
      <c r="E17" s="110">
        <v>33893</v>
      </c>
      <c r="F17" s="115" t="s">
        <v>1384</v>
      </c>
      <c r="G17" s="1509" t="s">
        <v>1384</v>
      </c>
      <c r="H17" s="110">
        <v>133981</v>
      </c>
    </row>
    <row r="18" spans="1:8" ht="23.25" customHeight="1">
      <c r="A18" s="788">
        <v>12</v>
      </c>
      <c r="B18" s="1044" t="s">
        <v>1399</v>
      </c>
      <c r="C18" s="110">
        <v>56785</v>
      </c>
      <c r="D18" s="46">
        <v>708</v>
      </c>
      <c r="E18" s="110">
        <v>39749</v>
      </c>
      <c r="F18" s="46">
        <v>1043</v>
      </c>
      <c r="G18" s="110">
        <v>138</v>
      </c>
      <c r="H18" s="110">
        <v>179855</v>
      </c>
    </row>
    <row r="19" spans="1:8" ht="23.25" customHeight="1">
      <c r="A19" s="788">
        <v>13</v>
      </c>
      <c r="B19" s="1044" t="s">
        <v>1269</v>
      </c>
      <c r="C19" s="110">
        <v>78289</v>
      </c>
      <c r="D19" s="1510" t="s">
        <v>1384</v>
      </c>
      <c r="E19" s="110">
        <v>11963</v>
      </c>
      <c r="F19" s="46">
        <v>42</v>
      </c>
      <c r="G19" s="110">
        <v>53</v>
      </c>
      <c r="H19" s="110">
        <v>96320</v>
      </c>
    </row>
    <row r="20" spans="1:8" ht="23.25" customHeight="1">
      <c r="A20" s="788">
        <v>14</v>
      </c>
      <c r="B20" s="1044" t="s">
        <v>1270</v>
      </c>
      <c r="C20" s="110">
        <v>82786</v>
      </c>
      <c r="D20" s="1510" t="s">
        <v>1384</v>
      </c>
      <c r="E20" s="110">
        <v>27864</v>
      </c>
      <c r="F20" s="46">
        <v>1912</v>
      </c>
      <c r="G20" s="110">
        <v>57</v>
      </c>
      <c r="H20" s="110">
        <v>159868</v>
      </c>
    </row>
    <row r="21" spans="1:8" ht="23.25" customHeight="1">
      <c r="A21" s="788">
        <v>15</v>
      </c>
      <c r="B21" s="1044" t="s">
        <v>1412</v>
      </c>
      <c r="C21" s="110">
        <v>81709</v>
      </c>
      <c r="D21" s="46">
        <v>10</v>
      </c>
      <c r="E21" s="110">
        <v>24007</v>
      </c>
      <c r="F21" s="46">
        <v>407</v>
      </c>
      <c r="G21" s="110">
        <v>438</v>
      </c>
      <c r="H21" s="110">
        <v>163557</v>
      </c>
    </row>
    <row r="22" spans="1:8" ht="23.25" customHeight="1">
      <c r="A22" s="788">
        <v>16</v>
      </c>
      <c r="B22" s="1044" t="s">
        <v>1413</v>
      </c>
      <c r="C22" s="110">
        <v>87568</v>
      </c>
      <c r="D22" s="46">
        <v>6</v>
      </c>
      <c r="E22" s="110">
        <v>30758</v>
      </c>
      <c r="F22" s="46">
        <v>6352</v>
      </c>
      <c r="G22" s="110">
        <v>725</v>
      </c>
      <c r="H22" s="110">
        <v>127316</v>
      </c>
    </row>
    <row r="23" spans="1:8" ht="23.25" customHeight="1">
      <c r="A23" s="788">
        <v>17</v>
      </c>
      <c r="B23" s="1044" t="s">
        <v>1414</v>
      </c>
      <c r="C23" s="110">
        <v>59125</v>
      </c>
      <c r="D23" s="1510" t="s">
        <v>1384</v>
      </c>
      <c r="E23" s="110">
        <v>21055</v>
      </c>
      <c r="F23" s="46">
        <v>1382</v>
      </c>
      <c r="G23" s="110">
        <v>142</v>
      </c>
      <c r="H23" s="110">
        <v>282234</v>
      </c>
    </row>
    <row r="24" spans="1:8" ht="23.25" customHeight="1">
      <c r="A24" s="788">
        <v>18</v>
      </c>
      <c r="B24" s="1044" t="s">
        <v>1419</v>
      </c>
      <c r="C24" s="110">
        <v>50071</v>
      </c>
      <c r="D24" s="1510" t="s">
        <v>1384</v>
      </c>
      <c r="E24" s="110">
        <v>36154</v>
      </c>
      <c r="F24" s="46">
        <v>882</v>
      </c>
      <c r="G24" s="110">
        <v>423</v>
      </c>
      <c r="H24" s="110">
        <v>146474</v>
      </c>
    </row>
    <row r="25" spans="1:8" ht="23.25" customHeight="1">
      <c r="A25" s="788">
        <v>19</v>
      </c>
      <c r="B25" s="1044" t="s">
        <v>1420</v>
      </c>
      <c r="C25" s="110">
        <v>39769</v>
      </c>
      <c r="D25" s="1510" t="s">
        <v>1384</v>
      </c>
      <c r="E25" s="110">
        <v>30759</v>
      </c>
      <c r="F25" s="46">
        <v>7844</v>
      </c>
      <c r="G25" s="110">
        <v>40</v>
      </c>
      <c r="H25" s="110">
        <v>101303</v>
      </c>
    </row>
    <row r="26" spans="1:8" ht="23.25" customHeight="1">
      <c r="A26" s="788">
        <v>20</v>
      </c>
      <c r="B26" s="1044" t="s">
        <v>1422</v>
      </c>
      <c r="C26" s="110">
        <v>71981</v>
      </c>
      <c r="D26" s="46">
        <v>9</v>
      </c>
      <c r="E26" s="110">
        <v>19781</v>
      </c>
      <c r="F26" s="46">
        <v>262</v>
      </c>
      <c r="G26" s="110">
        <v>61</v>
      </c>
      <c r="H26" s="110">
        <v>164883</v>
      </c>
    </row>
    <row r="27" spans="1:8" ht="23.25" customHeight="1">
      <c r="A27" s="788">
        <v>21</v>
      </c>
      <c r="B27" s="1044" t="s">
        <v>1423</v>
      </c>
      <c r="C27" s="110">
        <v>55601</v>
      </c>
      <c r="D27" s="1510" t="s">
        <v>1384</v>
      </c>
      <c r="E27" s="110">
        <v>15358</v>
      </c>
      <c r="F27" s="46">
        <v>616</v>
      </c>
      <c r="G27" s="110">
        <v>331</v>
      </c>
      <c r="H27" s="110">
        <v>66033</v>
      </c>
    </row>
    <row r="28" spans="1:8" ht="23.25" customHeight="1">
      <c r="A28" s="788">
        <v>22</v>
      </c>
      <c r="B28" s="1044" t="s">
        <v>1425</v>
      </c>
      <c r="C28" s="110">
        <v>61005</v>
      </c>
      <c r="D28" s="46">
        <v>41</v>
      </c>
      <c r="E28" s="110">
        <v>24143</v>
      </c>
      <c r="F28" s="46">
        <v>236</v>
      </c>
      <c r="G28" s="110">
        <v>274</v>
      </c>
      <c r="H28" s="110">
        <v>63553</v>
      </c>
    </row>
    <row r="29" spans="1:8" ht="23.25" customHeight="1">
      <c r="A29" s="788">
        <v>23</v>
      </c>
      <c r="B29" s="1044" t="s">
        <v>1426</v>
      </c>
      <c r="C29" s="110">
        <v>61532</v>
      </c>
      <c r="D29" s="46">
        <v>76</v>
      </c>
      <c r="E29" s="110">
        <v>48512</v>
      </c>
      <c r="F29" s="434">
        <v>737</v>
      </c>
      <c r="G29" s="110">
        <v>310</v>
      </c>
      <c r="H29" s="110">
        <v>424443</v>
      </c>
    </row>
    <row r="30" spans="1:8" ht="23.25" customHeight="1">
      <c r="A30" s="788">
        <v>24</v>
      </c>
      <c r="B30" s="1044" t="s">
        <v>263</v>
      </c>
      <c r="C30" s="110">
        <v>64314</v>
      </c>
      <c r="D30" s="1510" t="s">
        <v>1384</v>
      </c>
      <c r="E30" s="110">
        <v>28517</v>
      </c>
      <c r="F30" s="434">
        <v>1215</v>
      </c>
      <c r="G30" s="110">
        <v>23</v>
      </c>
      <c r="H30" s="110">
        <v>152368</v>
      </c>
    </row>
    <row r="31" spans="1:8" ht="23.25" customHeight="1">
      <c r="A31" s="789">
        <v>25</v>
      </c>
      <c r="B31" s="1045" t="s">
        <v>1429</v>
      </c>
      <c r="C31" s="1180">
        <v>64522</v>
      </c>
      <c r="D31" s="28">
        <v>31</v>
      </c>
      <c r="E31" s="111">
        <v>29242</v>
      </c>
      <c r="F31" s="28">
        <v>3462</v>
      </c>
      <c r="G31" s="111">
        <v>64</v>
      </c>
      <c r="H31" s="111">
        <v>155979</v>
      </c>
    </row>
    <row r="32" spans="1:8" ht="12.75" customHeight="1">
      <c r="C32" s="1063"/>
      <c r="E32" s="2426" t="s">
        <v>564</v>
      </c>
      <c r="F32" s="2426"/>
      <c r="G32" s="2426"/>
      <c r="H32" s="2426"/>
    </row>
    <row r="33" spans="4:8">
      <c r="D33" s="2"/>
      <c r="E33" s="2427"/>
      <c r="F33" s="2427"/>
      <c r="G33" s="2427"/>
      <c r="H33" s="2427"/>
    </row>
    <row r="34" spans="4:8">
      <c r="G34" s="2"/>
      <c r="H34" s="2"/>
    </row>
    <row r="35" spans="4:8">
      <c r="G35" s="2"/>
      <c r="H35" s="2"/>
    </row>
  </sheetData>
  <mergeCells count="7">
    <mergeCell ref="E32:H33"/>
    <mergeCell ref="A1:H1"/>
    <mergeCell ref="A2:H3"/>
    <mergeCell ref="B4:B5"/>
    <mergeCell ref="A4:A5"/>
    <mergeCell ref="H4:H5"/>
    <mergeCell ref="C4:G4"/>
  </mergeCells>
  <phoneticPr fontId="0" type="noConversion"/>
  <printOptions horizontalCentered="1"/>
  <pageMargins left="0.1" right="0.1" top="0.7" bottom="0.1" header="0.7" footer="0.1"/>
  <pageSetup paperSize="9" orientation="portrait" blackAndWhite="1" r:id="rId1"/>
  <headerFooter alignWithMargins="0"/>
</worksheet>
</file>

<file path=xl/worksheets/sheet88.xml><?xml version="1.0" encoding="utf-8"?>
<worksheet xmlns="http://schemas.openxmlformats.org/spreadsheetml/2006/main" xmlns:r="http://schemas.openxmlformats.org/officeDocument/2006/relationships">
  <dimension ref="A1:H31"/>
  <sheetViews>
    <sheetView workbookViewId="0">
      <selection activeCell="K35" sqref="K35"/>
    </sheetView>
  </sheetViews>
  <sheetFormatPr defaultRowHeight="12.75"/>
  <cols>
    <col min="1" max="1" width="4.7109375" customWidth="1"/>
    <col min="2" max="2" width="23.28515625" customWidth="1"/>
    <col min="3" max="3" width="13.7109375" customWidth="1"/>
    <col min="4" max="4" width="13" customWidth="1"/>
    <col min="5" max="5" width="28.85546875" customWidth="1"/>
  </cols>
  <sheetData>
    <row r="1" spans="1:8" ht="18.75" customHeight="1">
      <c r="A1" s="2142" t="s">
        <v>554</v>
      </c>
      <c r="B1" s="2142"/>
      <c r="C1" s="2142"/>
      <c r="D1" s="2142"/>
      <c r="E1" s="2142"/>
    </row>
    <row r="2" spans="1:8" ht="34.5" customHeight="1">
      <c r="A2" s="2367" t="str">
        <f>CONCATENATE("Commercial and Gramin Banks in the Blocks of ",District!$A$1,"
 for the year ",District!B3)</f>
        <v>Commercial and Gramin Banks in the Blocks of Purba Medinipur
 for the year 2013-14</v>
      </c>
      <c r="B2" s="2367"/>
      <c r="C2" s="2367"/>
      <c r="D2" s="2367"/>
      <c r="E2" s="2367"/>
      <c r="F2" s="7"/>
      <c r="G2" s="7"/>
      <c r="H2" s="7"/>
    </row>
    <row r="3" spans="1:8" ht="20.25" customHeight="1">
      <c r="A3" s="1833" t="s">
        <v>166</v>
      </c>
      <c r="B3" s="1833" t="s">
        <v>27</v>
      </c>
      <c r="C3" s="1829" t="s">
        <v>411</v>
      </c>
      <c r="D3" s="1828"/>
      <c r="E3" s="430" t="s">
        <v>412</v>
      </c>
      <c r="F3" s="7"/>
      <c r="G3" s="7"/>
      <c r="H3" s="7"/>
    </row>
    <row r="4" spans="1:8" ht="28.5" customHeight="1">
      <c r="A4" s="1834"/>
      <c r="B4" s="1832"/>
      <c r="C4" s="157" t="s">
        <v>828</v>
      </c>
      <c r="D4" s="362" t="s">
        <v>829</v>
      </c>
      <c r="E4" s="1512" t="s">
        <v>1652</v>
      </c>
      <c r="F4" s="7"/>
      <c r="G4" s="7"/>
      <c r="H4" s="7"/>
    </row>
    <row r="5" spans="1:8" ht="18" customHeight="1">
      <c r="A5" s="134" t="s">
        <v>955</v>
      </c>
      <c r="B5" s="136" t="s">
        <v>956</v>
      </c>
      <c r="C5" s="137" t="s">
        <v>957</v>
      </c>
      <c r="D5" s="134" t="s">
        <v>958</v>
      </c>
      <c r="E5" s="134" t="s">
        <v>959</v>
      </c>
      <c r="F5" s="7"/>
      <c r="G5" s="7"/>
      <c r="H5" s="7"/>
    </row>
    <row r="6" spans="1:8" ht="24.75" customHeight="1">
      <c r="A6" s="848">
        <v>1</v>
      </c>
      <c r="B6" s="681" t="s">
        <v>200</v>
      </c>
      <c r="C6" s="117">
        <v>7</v>
      </c>
      <c r="D6" s="110">
        <v>2</v>
      </c>
      <c r="E6" s="110">
        <f>ROUND(VLOOKUP(B6,'2.2'!$A$5:$E$38,3,FALSE)/SUM(C6,D6)/1000,0)</f>
        <v>24</v>
      </c>
    </row>
    <row r="7" spans="1:8" ht="24.75" customHeight="1">
      <c r="A7" s="788">
        <v>2</v>
      </c>
      <c r="B7" s="681" t="s">
        <v>1386</v>
      </c>
      <c r="C7" s="117">
        <v>9</v>
      </c>
      <c r="D7" s="110">
        <v>2</v>
      </c>
      <c r="E7" s="110">
        <f>ROUND(VLOOKUP(B7,'2.2'!$A$5:$E$38,3,FALSE)/SUM(C7,D7)/1000,0)</f>
        <v>18</v>
      </c>
    </row>
    <row r="8" spans="1:8" ht="24.75" customHeight="1">
      <c r="A8" s="788">
        <v>3</v>
      </c>
      <c r="B8" s="681" t="s">
        <v>1388</v>
      </c>
      <c r="C8" s="117">
        <v>12</v>
      </c>
      <c r="D8" s="110">
        <v>2</v>
      </c>
      <c r="E8" s="110">
        <f>ROUND(VLOOKUP(B8,'2.2'!$A$5:$E$38,3,FALSE)/SUM(C8,D8)/1000,0)</f>
        <v>20</v>
      </c>
    </row>
    <row r="9" spans="1:8" ht="24.75" customHeight="1">
      <c r="A9" s="788">
        <v>4</v>
      </c>
      <c r="B9" s="681" t="s">
        <v>1385</v>
      </c>
      <c r="C9" s="117">
        <v>9</v>
      </c>
      <c r="D9" s="110">
        <v>4</v>
      </c>
      <c r="E9" s="110">
        <f>ROUND(VLOOKUP(B9,'2.2'!$A$5:$E$38,3,FALSE)/SUM(C9,D9)/1000,0)</f>
        <v>22</v>
      </c>
    </row>
    <row r="10" spans="1:8" ht="24.75" customHeight="1">
      <c r="A10" s="788">
        <v>5</v>
      </c>
      <c r="B10" s="681" t="s">
        <v>1390</v>
      </c>
      <c r="C10" s="117">
        <v>7</v>
      </c>
      <c r="D10" s="110">
        <v>1</v>
      </c>
      <c r="E10" s="110">
        <f>ROUND(VLOOKUP(B10,'2.2'!$A$5:$E$38,3,FALSE)/SUM(C10,D10)/1000,0)</f>
        <v>28</v>
      </c>
    </row>
    <row r="11" spans="1:8" ht="24.75" customHeight="1">
      <c r="A11" s="788">
        <v>6</v>
      </c>
      <c r="B11" s="681" t="s">
        <v>1391</v>
      </c>
      <c r="C11" s="117">
        <v>7</v>
      </c>
      <c r="D11" s="110">
        <v>1</v>
      </c>
      <c r="E11" s="110">
        <f>ROUND(VLOOKUP(B11,'2.2'!$A$5:$E$38,3,FALSE)/SUM(C11,D11)/1000,0)</f>
        <v>33</v>
      </c>
    </row>
    <row r="12" spans="1:8" ht="24.75" customHeight="1">
      <c r="A12" s="788">
        <v>7</v>
      </c>
      <c r="B12" s="681" t="s">
        <v>1392</v>
      </c>
      <c r="C12" s="117">
        <v>6</v>
      </c>
      <c r="D12" s="110">
        <v>1</v>
      </c>
      <c r="E12" s="110">
        <f>ROUND(VLOOKUP(B12,'2.2'!$A$5:$E$38,3,FALSE)/SUM(C12,D12)/1000,0)</f>
        <v>27</v>
      </c>
    </row>
    <row r="13" spans="1:8" ht="24.75" customHeight="1">
      <c r="A13" s="788">
        <v>8</v>
      </c>
      <c r="B13" s="681" t="s">
        <v>1393</v>
      </c>
      <c r="C13" s="117">
        <v>3</v>
      </c>
      <c r="D13" s="110">
        <v>3</v>
      </c>
      <c r="E13" s="110">
        <f>ROUND(VLOOKUP(B13,'2.2'!$A$5:$E$38,3,FALSE)/SUM(C13,D13)/1000,0)</f>
        <v>34</v>
      </c>
    </row>
    <row r="14" spans="1:8" ht="24.75" customHeight="1">
      <c r="A14" s="788">
        <v>9</v>
      </c>
      <c r="B14" s="681" t="s">
        <v>1395</v>
      </c>
      <c r="C14" s="117">
        <v>6</v>
      </c>
      <c r="D14" s="110">
        <v>1</v>
      </c>
      <c r="E14" s="110">
        <f>ROUND(VLOOKUP(B14,'2.2'!$A$5:$E$38,3,FALSE)/SUM(C14,D14)/1000,0)</f>
        <v>30</v>
      </c>
    </row>
    <row r="15" spans="1:8" ht="24.75" customHeight="1">
      <c r="A15" s="788">
        <v>10</v>
      </c>
      <c r="B15" s="681" t="s">
        <v>1396</v>
      </c>
      <c r="C15" s="117">
        <v>4</v>
      </c>
      <c r="D15" s="110">
        <v>1</v>
      </c>
      <c r="E15" s="110">
        <f>ROUND(VLOOKUP(B15,'2.2'!$A$5:$E$38,3,FALSE)/SUM(C15,D15)/1000,0)</f>
        <v>25</v>
      </c>
    </row>
    <row r="16" spans="1:8" ht="24.75" customHeight="1">
      <c r="A16" s="788">
        <v>11</v>
      </c>
      <c r="B16" s="681" t="s">
        <v>1397</v>
      </c>
      <c r="C16" s="117">
        <v>11</v>
      </c>
      <c r="D16" s="110">
        <v>2</v>
      </c>
      <c r="E16" s="110">
        <f>ROUND(VLOOKUP(B16,'2.2'!$A$5:$E$38,3,FALSE)/SUM(C16,D16)/1000,0)</f>
        <v>10</v>
      </c>
    </row>
    <row r="17" spans="1:5" ht="24.75" customHeight="1">
      <c r="A17" s="788">
        <v>12</v>
      </c>
      <c r="B17" s="681" t="s">
        <v>1399</v>
      </c>
      <c r="C17" s="117">
        <v>1</v>
      </c>
      <c r="D17" s="110">
        <v>3</v>
      </c>
      <c r="E17" s="110">
        <f>ROUND(VLOOKUP(B17,'2.2'!$A$5:$E$38,3,FALSE)/SUM(C17,D17)/1000,0)</f>
        <v>24</v>
      </c>
    </row>
    <row r="18" spans="1:5" ht="24.75" customHeight="1">
      <c r="A18" s="788">
        <v>13</v>
      </c>
      <c r="B18" s="681" t="s">
        <v>1269</v>
      </c>
      <c r="C18" s="117">
        <v>6</v>
      </c>
      <c r="D18" s="110">
        <v>1</v>
      </c>
      <c r="E18" s="110">
        <f>ROUND(VLOOKUP(B18,'2.2'!$A$5:$E$38,3,FALSE)/SUM(C18,D18)/1000,0)</f>
        <v>25</v>
      </c>
    </row>
    <row r="19" spans="1:5" ht="24.75" customHeight="1">
      <c r="A19" s="788">
        <v>14</v>
      </c>
      <c r="B19" s="681" t="s">
        <v>1270</v>
      </c>
      <c r="C19" s="117">
        <v>4</v>
      </c>
      <c r="D19" s="110">
        <v>2</v>
      </c>
      <c r="E19" s="110">
        <f>ROUND(VLOOKUP(B19,'2.2'!$A$5:$E$38,3,FALSE)/SUM(C19,D19)/1000,0)</f>
        <v>29</v>
      </c>
    </row>
    <row r="20" spans="1:5" ht="24.75" customHeight="1">
      <c r="A20" s="788">
        <v>15</v>
      </c>
      <c r="B20" s="681" t="s">
        <v>1412</v>
      </c>
      <c r="C20" s="117">
        <v>6</v>
      </c>
      <c r="D20" s="110">
        <v>3</v>
      </c>
      <c r="E20" s="110">
        <f>ROUND(VLOOKUP(B20,'2.2'!$A$5:$E$38,3,FALSE)/SUM(C20,D20)/1000,0)</f>
        <v>26</v>
      </c>
    </row>
    <row r="21" spans="1:5" ht="24.75" customHeight="1">
      <c r="A21" s="788">
        <v>16</v>
      </c>
      <c r="B21" s="681" t="s">
        <v>1413</v>
      </c>
      <c r="C21" s="117">
        <v>6</v>
      </c>
      <c r="D21" s="110">
        <v>1</v>
      </c>
      <c r="E21" s="110">
        <f>ROUND(VLOOKUP(B21,'2.2'!$A$5:$E$38,3,FALSE)/SUM(C21,D21)/1000,0)</f>
        <v>24</v>
      </c>
    </row>
    <row r="22" spans="1:5" ht="24.75" customHeight="1">
      <c r="A22" s="788">
        <v>17</v>
      </c>
      <c r="B22" s="681" t="s">
        <v>1414</v>
      </c>
      <c r="C22" s="117">
        <v>5</v>
      </c>
      <c r="D22" s="110">
        <v>3</v>
      </c>
      <c r="E22" s="110">
        <f>ROUND(VLOOKUP(B22,'2.2'!$A$5:$E$38,3,FALSE)/SUM(C22,D22)/1000,0)</f>
        <v>22</v>
      </c>
    </row>
    <row r="23" spans="1:5" ht="24.75" customHeight="1">
      <c r="A23" s="788">
        <v>18</v>
      </c>
      <c r="B23" s="681" t="s">
        <v>1419</v>
      </c>
      <c r="C23" s="117">
        <v>4</v>
      </c>
      <c r="D23" s="110">
        <v>2</v>
      </c>
      <c r="E23" s="110">
        <f>ROUND(VLOOKUP(B23,'2.2'!$A$5:$E$38,3,FALSE)/SUM(C23,D23)/1000,0)</f>
        <v>22</v>
      </c>
    </row>
    <row r="24" spans="1:5" ht="24.75" customHeight="1">
      <c r="A24" s="788">
        <v>19</v>
      </c>
      <c r="B24" s="681" t="s">
        <v>1420</v>
      </c>
      <c r="C24" s="117">
        <v>5</v>
      </c>
      <c r="D24" s="110" t="s">
        <v>1384</v>
      </c>
      <c r="E24" s="110">
        <f>ROUND(VLOOKUP(B24,'2.2'!$A$5:$E$38,3,FALSE)/SUM(C24,D24)/1000,0)</f>
        <v>28</v>
      </c>
    </row>
    <row r="25" spans="1:5" ht="24.75" customHeight="1">
      <c r="A25" s="788">
        <v>20</v>
      </c>
      <c r="B25" s="681" t="s">
        <v>1422</v>
      </c>
      <c r="C25" s="117">
        <v>7</v>
      </c>
      <c r="D25" s="110">
        <v>3</v>
      </c>
      <c r="E25" s="110">
        <f>ROUND(VLOOKUP(B25,'2.2'!$A$5:$E$38,3,FALSE)/SUM(C25,D25)/1000,0)</f>
        <v>19</v>
      </c>
    </row>
    <row r="26" spans="1:5" ht="24.75" customHeight="1">
      <c r="A26" s="788">
        <v>21</v>
      </c>
      <c r="B26" s="681" t="s">
        <v>1423</v>
      </c>
      <c r="C26" s="117">
        <v>9</v>
      </c>
      <c r="D26" s="110">
        <v>1</v>
      </c>
      <c r="E26" s="110">
        <f>ROUND(VLOOKUP(B26,'2.2'!$A$5:$E$38,3,FALSE)/SUM(C26,D26)/1000,0)</f>
        <v>17</v>
      </c>
    </row>
    <row r="27" spans="1:5" ht="24.75" customHeight="1">
      <c r="A27" s="788">
        <v>22</v>
      </c>
      <c r="B27" s="681" t="s">
        <v>1425</v>
      </c>
      <c r="C27" s="117">
        <v>5</v>
      </c>
      <c r="D27" s="110">
        <v>2</v>
      </c>
      <c r="E27" s="110">
        <f>ROUND(VLOOKUP(B27,'2.2'!$A$5:$E$38,3,FALSE)/SUM(C27,D27)/1000,0)</f>
        <v>22</v>
      </c>
    </row>
    <row r="28" spans="1:5" ht="24.75" customHeight="1">
      <c r="A28" s="788">
        <v>23</v>
      </c>
      <c r="B28" s="681" t="s">
        <v>1426</v>
      </c>
      <c r="C28" s="117">
        <v>4</v>
      </c>
      <c r="D28" s="110">
        <v>2</v>
      </c>
      <c r="E28" s="110">
        <f>ROUND(VLOOKUP(B28,'2.2'!$A$5:$E$38,3,FALSE)/SUM(C28,D28)/1000,0)</f>
        <v>28</v>
      </c>
    </row>
    <row r="29" spans="1:5" ht="24.75" customHeight="1">
      <c r="A29" s="788">
        <v>24</v>
      </c>
      <c r="B29" s="681" t="s">
        <v>263</v>
      </c>
      <c r="C29" s="117">
        <v>6</v>
      </c>
      <c r="D29" s="110">
        <v>1</v>
      </c>
      <c r="E29" s="110">
        <f>ROUND(VLOOKUP(B29,'2.2'!$A$5:$E$38,3,FALSE)/SUM(C29,D29)/1000,0)</f>
        <v>25</v>
      </c>
    </row>
    <row r="30" spans="1:5" ht="24.75" customHeight="1">
      <c r="A30" s="789">
        <v>25</v>
      </c>
      <c r="B30" s="935" t="s">
        <v>1429</v>
      </c>
      <c r="C30" s="109">
        <v>4</v>
      </c>
      <c r="D30" s="111">
        <v>3</v>
      </c>
      <c r="E30" s="111">
        <f>ROUND(VLOOKUP(B30,'2.2'!$A$5:$E$38,3,FALSE)/SUM(C30,D30)/1000,0)</f>
        <v>23</v>
      </c>
    </row>
    <row r="31" spans="1:5">
      <c r="A31" s="1041" t="s">
        <v>1653</v>
      </c>
      <c r="C31" s="319"/>
      <c r="D31" s="319"/>
      <c r="E31" s="1063" t="s">
        <v>480</v>
      </c>
    </row>
  </sheetData>
  <mergeCells count="5">
    <mergeCell ref="A1:E1"/>
    <mergeCell ref="A2:E2"/>
    <mergeCell ref="C3:D3"/>
    <mergeCell ref="B3:B4"/>
    <mergeCell ref="A3:A4"/>
  </mergeCells>
  <phoneticPr fontId="0" type="noConversion"/>
  <printOptions horizontalCentered="1"/>
  <pageMargins left="0.1" right="0.1" top="0.7" bottom="0.1" header="0.5" footer="0.1"/>
  <pageSetup paperSize="9" orientation="portrait" blackAndWhite="1" r:id="rId1"/>
  <headerFooter alignWithMargins="0"/>
</worksheet>
</file>

<file path=xl/worksheets/sheet89.xml><?xml version="1.0" encoding="utf-8"?>
<worksheet xmlns="http://schemas.openxmlformats.org/spreadsheetml/2006/main" xmlns:r="http://schemas.openxmlformats.org/officeDocument/2006/relationships">
  <dimension ref="A1:O32"/>
  <sheetViews>
    <sheetView workbookViewId="0">
      <selection activeCell="K35" sqref="K35"/>
    </sheetView>
  </sheetViews>
  <sheetFormatPr defaultRowHeight="12.75"/>
  <cols>
    <col min="1" max="1" width="3.7109375" style="6" customWidth="1"/>
    <col min="2" max="2" width="24.140625" style="6" customWidth="1"/>
    <col min="3" max="3" width="17" style="6" customWidth="1"/>
    <col min="4" max="4" width="20.140625" style="6" customWidth="1"/>
    <col min="5" max="5" width="21.5703125" style="6" customWidth="1"/>
    <col min="6" max="16384" width="9.140625" style="6"/>
  </cols>
  <sheetData>
    <row r="1" spans="1:5" ht="21.75" customHeight="1">
      <c r="A1" s="1825" t="s">
        <v>553</v>
      </c>
      <c r="B1" s="1825"/>
      <c r="C1" s="1825"/>
      <c r="D1" s="1825"/>
      <c r="E1" s="1825"/>
    </row>
    <row r="2" spans="1:5" ht="38.25" customHeight="1">
      <c r="A2" s="2379" t="str">
        <f>CONCATENATE("Co-operative Societies in the Blocks of ",District!$A$1," 
for the year ",District!B3)</f>
        <v>Co-operative Societies in the Blocks of Purba Medinipur 
for the year 2013-14</v>
      </c>
      <c r="B2" s="2379"/>
      <c r="C2" s="2379"/>
      <c r="D2" s="2379"/>
      <c r="E2" s="2379"/>
    </row>
    <row r="3" spans="1:5" ht="39" customHeight="1">
      <c r="A3" s="362" t="s">
        <v>166</v>
      </c>
      <c r="B3" s="362" t="s">
        <v>27</v>
      </c>
      <c r="C3" s="1796" t="s">
        <v>1666</v>
      </c>
      <c r="D3" s="362" t="s">
        <v>1286</v>
      </c>
      <c r="E3" s="362" t="s">
        <v>1667</v>
      </c>
    </row>
    <row r="4" spans="1:5" ht="20.100000000000001" customHeight="1">
      <c r="A4" s="134" t="s">
        <v>955</v>
      </c>
      <c r="B4" s="134" t="s">
        <v>956</v>
      </c>
      <c r="C4" s="1797" t="s">
        <v>957</v>
      </c>
      <c r="D4" s="134" t="s">
        <v>958</v>
      </c>
      <c r="E4" s="134" t="s">
        <v>959</v>
      </c>
    </row>
    <row r="5" spans="1:5" ht="23.25" customHeight="1">
      <c r="A5" s="788">
        <v>1</v>
      </c>
      <c r="B5" s="598" t="s">
        <v>200</v>
      </c>
      <c r="C5" s="1799">
        <v>71</v>
      </c>
      <c r="D5" s="1795">
        <v>31812</v>
      </c>
      <c r="E5" s="1795">
        <v>6596258</v>
      </c>
    </row>
    <row r="6" spans="1:5" ht="23.25" customHeight="1">
      <c r="A6" s="788">
        <v>2</v>
      </c>
      <c r="B6" s="598" t="s">
        <v>1386</v>
      </c>
      <c r="C6" s="1799">
        <v>34</v>
      </c>
      <c r="D6" s="1795">
        <v>16556</v>
      </c>
      <c r="E6" s="1795">
        <v>547633</v>
      </c>
    </row>
    <row r="7" spans="1:5" ht="23.25" customHeight="1">
      <c r="A7" s="788">
        <v>3</v>
      </c>
      <c r="B7" s="598" t="s">
        <v>1388</v>
      </c>
      <c r="C7" s="1799">
        <v>36</v>
      </c>
      <c r="D7" s="1795">
        <v>17920</v>
      </c>
      <c r="E7" s="1795">
        <v>464373</v>
      </c>
    </row>
    <row r="8" spans="1:5" ht="23.25" customHeight="1">
      <c r="A8" s="788">
        <v>4</v>
      </c>
      <c r="B8" s="598" t="s">
        <v>1385</v>
      </c>
      <c r="C8" s="1799">
        <v>45</v>
      </c>
      <c r="D8" s="1795">
        <v>17892</v>
      </c>
      <c r="E8" s="1795">
        <v>690404</v>
      </c>
    </row>
    <row r="9" spans="1:5" ht="23.25" customHeight="1">
      <c r="A9" s="788">
        <v>5</v>
      </c>
      <c r="B9" s="598" t="s">
        <v>1390</v>
      </c>
      <c r="C9" s="1799">
        <v>49</v>
      </c>
      <c r="D9" s="1795">
        <v>24975</v>
      </c>
      <c r="E9" s="1795">
        <v>284655</v>
      </c>
    </row>
    <row r="10" spans="1:5" ht="23.25" customHeight="1">
      <c r="A10" s="788">
        <v>6</v>
      </c>
      <c r="B10" s="598" t="s">
        <v>1391</v>
      </c>
      <c r="C10" s="1799">
        <v>40</v>
      </c>
      <c r="D10" s="1795">
        <v>28702</v>
      </c>
      <c r="E10" s="1795">
        <v>205966</v>
      </c>
    </row>
    <row r="11" spans="1:5" ht="23.25" customHeight="1">
      <c r="A11" s="788">
        <v>7</v>
      </c>
      <c r="B11" s="598" t="s">
        <v>1392</v>
      </c>
      <c r="C11" s="1799">
        <v>53</v>
      </c>
      <c r="D11" s="1795">
        <v>31484</v>
      </c>
      <c r="E11" s="1795">
        <v>222327</v>
      </c>
    </row>
    <row r="12" spans="1:5" ht="23.25" customHeight="1">
      <c r="A12" s="788">
        <v>8</v>
      </c>
      <c r="B12" s="598" t="s">
        <v>1393</v>
      </c>
      <c r="C12" s="1799">
        <v>43</v>
      </c>
      <c r="D12" s="1795">
        <v>21712</v>
      </c>
      <c r="E12" s="1795">
        <v>332662</v>
      </c>
    </row>
    <row r="13" spans="1:5" ht="23.25" customHeight="1">
      <c r="A13" s="788">
        <v>9</v>
      </c>
      <c r="B13" s="598" t="s">
        <v>1395</v>
      </c>
      <c r="C13" s="1799">
        <v>38</v>
      </c>
      <c r="D13" s="1795">
        <v>23306</v>
      </c>
      <c r="E13" s="1795">
        <v>141038</v>
      </c>
    </row>
    <row r="14" spans="1:5" ht="23.25" customHeight="1">
      <c r="A14" s="788">
        <v>10</v>
      </c>
      <c r="B14" s="598" t="s">
        <v>1396</v>
      </c>
      <c r="C14" s="1799">
        <v>31</v>
      </c>
      <c r="D14" s="588">
        <v>20750</v>
      </c>
      <c r="E14" s="1795">
        <v>165067</v>
      </c>
    </row>
    <row r="15" spans="1:5" ht="23.25" customHeight="1">
      <c r="A15" s="788">
        <v>11</v>
      </c>
      <c r="B15" s="598" t="s">
        <v>1397</v>
      </c>
      <c r="C15" s="1799">
        <v>44</v>
      </c>
      <c r="D15" s="1795">
        <v>9973</v>
      </c>
      <c r="E15" s="1795">
        <v>193617</v>
      </c>
    </row>
    <row r="16" spans="1:5" ht="23.25" customHeight="1">
      <c r="A16" s="788">
        <v>12</v>
      </c>
      <c r="B16" s="598" t="s">
        <v>1399</v>
      </c>
      <c r="C16" s="1799">
        <v>40</v>
      </c>
      <c r="D16" s="1795">
        <v>11997</v>
      </c>
      <c r="E16" s="1795">
        <v>208523</v>
      </c>
    </row>
    <row r="17" spans="1:15" ht="23.25" customHeight="1">
      <c r="A17" s="788">
        <v>13</v>
      </c>
      <c r="B17" s="598" t="s">
        <v>1269</v>
      </c>
      <c r="C17" s="1799">
        <v>72</v>
      </c>
      <c r="D17" s="1795">
        <v>25352</v>
      </c>
      <c r="E17" s="1795">
        <v>870225</v>
      </c>
    </row>
    <row r="18" spans="1:15" ht="23.25" customHeight="1">
      <c r="A18" s="788">
        <v>14</v>
      </c>
      <c r="B18" s="598" t="s">
        <v>1270</v>
      </c>
      <c r="C18" s="1799">
        <v>76</v>
      </c>
      <c r="D18" s="1795">
        <v>24775</v>
      </c>
      <c r="E18" s="1795">
        <v>945233</v>
      </c>
    </row>
    <row r="19" spans="1:15" ht="23.25" customHeight="1">
      <c r="A19" s="788">
        <v>15</v>
      </c>
      <c r="B19" s="598" t="s">
        <v>1412</v>
      </c>
      <c r="C19" s="1799">
        <v>114</v>
      </c>
      <c r="D19" s="1795">
        <v>34956</v>
      </c>
      <c r="E19" s="1795">
        <v>948657</v>
      </c>
    </row>
    <row r="20" spans="1:15" ht="23.25" customHeight="1">
      <c r="A20" s="788">
        <v>16</v>
      </c>
      <c r="B20" s="598" t="s">
        <v>1413</v>
      </c>
      <c r="C20" s="1799">
        <v>46</v>
      </c>
      <c r="D20" s="1795">
        <v>23556</v>
      </c>
      <c r="E20" s="1795">
        <v>758214</v>
      </c>
    </row>
    <row r="21" spans="1:15" ht="23.25" customHeight="1">
      <c r="A21" s="788">
        <v>17</v>
      </c>
      <c r="B21" s="598" t="s">
        <v>1414</v>
      </c>
      <c r="C21" s="1799">
        <v>72</v>
      </c>
      <c r="D21" s="1795">
        <v>32128</v>
      </c>
      <c r="E21" s="1795">
        <v>950612</v>
      </c>
    </row>
    <row r="22" spans="1:15" ht="23.25" customHeight="1">
      <c r="A22" s="788">
        <v>18</v>
      </c>
      <c r="B22" s="598" t="s">
        <v>1419</v>
      </c>
      <c r="C22" s="1799">
        <v>71</v>
      </c>
      <c r="D22" s="1795">
        <v>23051</v>
      </c>
      <c r="E22" s="1795">
        <v>725689</v>
      </c>
    </row>
    <row r="23" spans="1:15" ht="23.25" customHeight="1">
      <c r="A23" s="788">
        <v>19</v>
      </c>
      <c r="B23" s="598" t="s">
        <v>1420</v>
      </c>
      <c r="C23" s="1799">
        <v>36</v>
      </c>
      <c r="D23" s="1795">
        <v>16333</v>
      </c>
      <c r="E23" s="588">
        <v>1652347</v>
      </c>
    </row>
    <row r="24" spans="1:15" ht="23.25" customHeight="1">
      <c r="A24" s="788">
        <v>20</v>
      </c>
      <c r="B24" s="598" t="s">
        <v>1422</v>
      </c>
      <c r="C24" s="1799">
        <v>118</v>
      </c>
      <c r="D24" s="1795">
        <v>44105</v>
      </c>
      <c r="E24" s="1795">
        <v>5261277</v>
      </c>
    </row>
    <row r="25" spans="1:15" ht="23.25" customHeight="1">
      <c r="A25" s="788">
        <v>21</v>
      </c>
      <c r="B25" s="598" t="s">
        <v>1423</v>
      </c>
      <c r="C25" s="1799">
        <v>62</v>
      </c>
      <c r="D25" s="1795">
        <v>33981</v>
      </c>
      <c r="E25" s="1795">
        <v>1456334</v>
      </c>
    </row>
    <row r="26" spans="1:15" ht="23.25" customHeight="1">
      <c r="A26" s="788">
        <v>22</v>
      </c>
      <c r="B26" s="598" t="s">
        <v>1425</v>
      </c>
      <c r="C26" s="1799">
        <v>56</v>
      </c>
      <c r="D26" s="1795">
        <v>27553</v>
      </c>
      <c r="E26" s="1795">
        <v>1038976</v>
      </c>
    </row>
    <row r="27" spans="1:15" ht="23.25" customHeight="1">
      <c r="A27" s="788">
        <v>23</v>
      </c>
      <c r="B27" s="598" t="s">
        <v>1426</v>
      </c>
      <c r="C27" s="1799">
        <v>83</v>
      </c>
      <c r="D27" s="1798">
        <v>32825</v>
      </c>
      <c r="E27" s="1795">
        <v>1365214</v>
      </c>
    </row>
    <row r="28" spans="1:15" ht="23.25" customHeight="1">
      <c r="A28" s="788">
        <v>24</v>
      </c>
      <c r="B28" s="598" t="s">
        <v>263</v>
      </c>
      <c r="C28" s="1799">
        <v>61</v>
      </c>
      <c r="D28" s="1798">
        <v>43098</v>
      </c>
      <c r="E28" s="1795">
        <v>1165284</v>
      </c>
      <c r="M28" s="1782"/>
      <c r="N28" s="1782"/>
      <c r="O28" s="1782"/>
    </row>
    <row r="29" spans="1:15" ht="23.25" customHeight="1">
      <c r="A29" s="789">
        <v>25</v>
      </c>
      <c r="B29" s="941" t="s">
        <v>1429</v>
      </c>
      <c r="C29" s="1800">
        <v>67</v>
      </c>
      <c r="D29" s="1801">
        <v>44203</v>
      </c>
      <c r="E29" s="1802">
        <v>1136258</v>
      </c>
      <c r="M29" s="1782"/>
      <c r="N29" s="1782"/>
      <c r="O29" s="1782"/>
    </row>
    <row r="30" spans="1:15" ht="12.75" customHeight="1">
      <c r="A30" s="243"/>
      <c r="B30" s="61"/>
      <c r="D30" s="2429" t="s">
        <v>1727</v>
      </c>
      <c r="E30" s="2429"/>
    </row>
    <row r="31" spans="1:15">
      <c r="D31" s="2430"/>
      <c r="E31" s="2430"/>
    </row>
    <row r="32" spans="1:15">
      <c r="C32" s="327"/>
      <c r="D32" s="1098"/>
    </row>
  </sheetData>
  <mergeCells count="3">
    <mergeCell ref="A1:E1"/>
    <mergeCell ref="A2:E2"/>
    <mergeCell ref="D30:E31"/>
  </mergeCells>
  <phoneticPr fontId="0" type="noConversion"/>
  <printOptions horizontalCentered="1"/>
  <pageMargins left="0.74" right="0.1" top="1.02" bottom="0.1" header="0.7" footer="0.1"/>
  <pageSetup paperSize="9" orientation="portrait" blackAndWhite="1" r:id="rId1"/>
  <headerFooter alignWithMargins="0"/>
</worksheet>
</file>

<file path=xl/worksheets/sheet9.xml><?xml version="1.0" encoding="utf-8"?>
<worksheet xmlns="http://schemas.openxmlformats.org/spreadsheetml/2006/main" xmlns:r="http://schemas.openxmlformats.org/officeDocument/2006/relationships">
  <sheetPr codeName="Sheet8"/>
  <dimension ref="A1:J31"/>
  <sheetViews>
    <sheetView topLeftCell="A22" workbookViewId="0">
      <selection activeCell="C3" sqref="C3"/>
    </sheetView>
  </sheetViews>
  <sheetFormatPr defaultRowHeight="12.75"/>
  <cols>
    <col min="1" max="1" width="13.7109375" customWidth="1"/>
    <col min="2" max="2" width="19.7109375" customWidth="1"/>
    <col min="3" max="3" width="18.7109375" customWidth="1"/>
    <col min="4" max="4" width="19.42578125" customWidth="1"/>
    <col min="5" max="6" width="18.7109375" customWidth="1"/>
  </cols>
  <sheetData>
    <row r="1" spans="1:10" ht="13.5" customHeight="1">
      <c r="A1" s="1825" t="s">
        <v>806</v>
      </c>
      <c r="B1" s="1825"/>
      <c r="C1" s="1825"/>
      <c r="D1" s="1825"/>
      <c r="E1" s="1825"/>
      <c r="F1" s="1825"/>
    </row>
    <row r="2" spans="1:10" ht="16.5" customHeight="1">
      <c r="A2" s="1857" t="str">
        <f>CONCATENATE("Assembly and Parliamentary Constituencies in the district of ",District!$A$1)</f>
        <v>Assembly and Parliamentary Constituencies in the district of Purba Medinipur</v>
      </c>
      <c r="B2" s="1857"/>
      <c r="C2" s="1857"/>
      <c r="D2" s="1857"/>
      <c r="E2" s="1857"/>
      <c r="F2" s="1857"/>
    </row>
    <row r="3" spans="1:10" ht="12" customHeight="1">
      <c r="A3" s="4"/>
      <c r="B3" s="4"/>
      <c r="C3" s="4"/>
      <c r="D3" s="4"/>
      <c r="E3" s="4"/>
      <c r="F3" s="194" t="s">
        <v>1001</v>
      </c>
      <c r="G3" s="7"/>
    </row>
    <row r="4" spans="1:10" ht="12.75" customHeight="1">
      <c r="A4" s="1858" t="s">
        <v>899</v>
      </c>
      <c r="B4" s="1866" t="s">
        <v>1032</v>
      </c>
      <c r="C4" s="1833" t="s">
        <v>1226</v>
      </c>
      <c r="D4" s="1886" t="s">
        <v>1144</v>
      </c>
      <c r="E4" s="1886"/>
      <c r="F4" s="1831" t="s">
        <v>979</v>
      </c>
    </row>
    <row r="5" spans="1:10" ht="25.5" customHeight="1">
      <c r="A5" s="1858"/>
      <c r="B5" s="1859"/>
      <c r="C5" s="1858"/>
      <c r="D5" s="356" t="s">
        <v>122</v>
      </c>
      <c r="E5" s="357" t="s">
        <v>123</v>
      </c>
      <c r="F5" s="1858"/>
    </row>
    <row r="6" spans="1:10" ht="16.5" customHeight="1">
      <c r="A6" s="674" t="s">
        <v>955</v>
      </c>
      <c r="B6" s="839" t="s">
        <v>956</v>
      </c>
      <c r="C6" s="134" t="s">
        <v>957</v>
      </c>
      <c r="D6" s="134" t="s">
        <v>958</v>
      </c>
      <c r="E6" s="518" t="s">
        <v>959</v>
      </c>
      <c r="F6" s="674" t="s">
        <v>961</v>
      </c>
    </row>
    <row r="7" spans="1:10" ht="16.5" customHeight="1">
      <c r="A7" s="1885">
        <v>2010</v>
      </c>
      <c r="B7" s="997" t="s">
        <v>1035</v>
      </c>
      <c r="C7" s="110">
        <v>14</v>
      </c>
      <c r="D7" s="110">
        <v>2</v>
      </c>
      <c r="E7" s="998" t="s">
        <v>1384</v>
      </c>
      <c r="F7" s="92">
        <v>16</v>
      </c>
    </row>
    <row r="8" spans="1:10" ht="16.5" customHeight="1">
      <c r="A8" s="1881"/>
      <c r="B8" s="875" t="s">
        <v>1038</v>
      </c>
      <c r="C8" s="110">
        <v>4</v>
      </c>
      <c r="D8" s="145" t="s">
        <v>1384</v>
      </c>
      <c r="E8" s="36" t="s">
        <v>1384</v>
      </c>
      <c r="F8" s="110" t="s">
        <v>888</v>
      </c>
    </row>
    <row r="9" spans="1:10" ht="16.5" customHeight="1">
      <c r="A9" s="1881">
        <v>2011</v>
      </c>
      <c r="B9" s="874" t="s">
        <v>1035</v>
      </c>
      <c r="C9" s="391">
        <v>14</v>
      </c>
      <c r="D9" s="391">
        <v>2</v>
      </c>
      <c r="E9" s="108" t="s">
        <v>1384</v>
      </c>
      <c r="F9" s="391">
        <v>16</v>
      </c>
    </row>
    <row r="10" spans="1:10" ht="16.5" customHeight="1">
      <c r="A10" s="1881"/>
      <c r="B10" s="875" t="s">
        <v>1038</v>
      </c>
      <c r="C10" s="391">
        <v>4</v>
      </c>
      <c r="D10" s="391" t="s">
        <v>1384</v>
      </c>
      <c r="E10" s="108" t="s">
        <v>1384</v>
      </c>
      <c r="F10" s="391" t="s">
        <v>888</v>
      </c>
    </row>
    <row r="11" spans="1:10" ht="16.5" customHeight="1">
      <c r="A11" s="1881">
        <v>2012</v>
      </c>
      <c r="B11" s="874" t="s">
        <v>1035</v>
      </c>
      <c r="C11" s="391">
        <v>14</v>
      </c>
      <c r="D11" s="391">
        <v>2</v>
      </c>
      <c r="E11" s="108" t="s">
        <v>1384</v>
      </c>
      <c r="F11" s="391">
        <v>16</v>
      </c>
    </row>
    <row r="12" spans="1:10" ht="16.5" customHeight="1">
      <c r="A12" s="1881"/>
      <c r="B12" s="875" t="s">
        <v>1038</v>
      </c>
      <c r="C12" s="391">
        <v>4</v>
      </c>
      <c r="D12" s="391" t="s">
        <v>1384</v>
      </c>
      <c r="E12" s="108" t="s">
        <v>1384</v>
      </c>
      <c r="F12" s="391" t="s">
        <v>1075</v>
      </c>
    </row>
    <row r="13" spans="1:10" ht="16.5" customHeight="1">
      <c r="A13" s="1881">
        <v>2013</v>
      </c>
      <c r="B13" s="874" t="s">
        <v>1035</v>
      </c>
      <c r="C13" s="391">
        <v>14</v>
      </c>
      <c r="D13" s="391">
        <v>2</v>
      </c>
      <c r="E13" s="108" t="s">
        <v>1384</v>
      </c>
      <c r="F13" s="391">
        <f>SUM(C13:E13)</f>
        <v>16</v>
      </c>
    </row>
    <row r="14" spans="1:10" ht="16.5" customHeight="1">
      <c r="A14" s="1881"/>
      <c r="B14" s="875" t="s">
        <v>1038</v>
      </c>
      <c r="C14" s="391">
        <v>4</v>
      </c>
      <c r="D14" s="391" t="s">
        <v>1384</v>
      </c>
      <c r="E14" s="108" t="s">
        <v>1384</v>
      </c>
      <c r="F14" s="391" t="s">
        <v>1075</v>
      </c>
    </row>
    <row r="15" spans="1:10" ht="16.5" customHeight="1">
      <c r="A15" s="1881">
        <v>2014</v>
      </c>
      <c r="B15" s="874" t="s">
        <v>1035</v>
      </c>
      <c r="C15" s="391">
        <v>14</v>
      </c>
      <c r="D15" s="391">
        <v>2</v>
      </c>
      <c r="E15" s="108" t="s">
        <v>1384</v>
      </c>
      <c r="F15" s="391">
        <f>SUM(C15:E15)</f>
        <v>16</v>
      </c>
      <c r="H15" s="5"/>
      <c r="J15" s="689"/>
    </row>
    <row r="16" spans="1:10" ht="16.5" customHeight="1">
      <c r="A16" s="1882"/>
      <c r="B16" s="999" t="s">
        <v>1038</v>
      </c>
      <c r="C16" s="443">
        <v>4</v>
      </c>
      <c r="D16" s="443" t="s">
        <v>1384</v>
      </c>
      <c r="E16" s="442" t="s">
        <v>1384</v>
      </c>
      <c r="F16" s="443" t="s">
        <v>1075</v>
      </c>
      <c r="I16" s="806"/>
    </row>
    <row r="17" spans="1:7">
      <c r="A17" s="1096" t="s">
        <v>1154</v>
      </c>
      <c r="C17" s="331"/>
      <c r="E17" s="331"/>
      <c r="F17" s="1063" t="s">
        <v>1410</v>
      </c>
    </row>
    <row r="18" spans="1:7">
      <c r="A18" s="190"/>
      <c r="C18" s="319"/>
      <c r="E18" s="319"/>
    </row>
    <row r="19" spans="1:7">
      <c r="A19" s="1884" t="s">
        <v>846</v>
      </c>
      <c r="B19" s="1884"/>
      <c r="C19" s="1884"/>
      <c r="D19" s="1884"/>
      <c r="E19" s="1884"/>
      <c r="F19" s="1884"/>
    </row>
    <row r="20" spans="1:7" ht="33.75" customHeight="1">
      <c r="A20" s="1853" t="str">
        <f>CONCATENATE("Number of Seats in Municipal Corporations, Municipalities and Panchayats
 in the district of ", District!$A$1)</f>
        <v>Number of Seats in Municipal Corporations, Municipalities and Panchayats
 in the district of Purba Medinipur</v>
      </c>
      <c r="B20" s="1853"/>
      <c r="C20" s="1853"/>
      <c r="D20" s="1853"/>
      <c r="E20" s="1853"/>
      <c r="F20" s="1853"/>
    </row>
    <row r="21" spans="1:7" ht="16.5" customHeight="1">
      <c r="A21" s="933" t="s">
        <v>899</v>
      </c>
      <c r="B21" s="362" t="s">
        <v>904</v>
      </c>
      <c r="C21" s="175" t="s">
        <v>905</v>
      </c>
      <c r="D21" s="362" t="s">
        <v>268</v>
      </c>
      <c r="E21" s="362" t="s">
        <v>1272</v>
      </c>
      <c r="F21" s="362" t="s">
        <v>906</v>
      </c>
    </row>
    <row r="22" spans="1:7" ht="16.5" customHeight="1">
      <c r="A22" s="839" t="s">
        <v>955</v>
      </c>
      <c r="B22" s="134" t="s">
        <v>956</v>
      </c>
      <c r="C22" s="135" t="s">
        <v>957</v>
      </c>
      <c r="D22" s="134" t="s">
        <v>958</v>
      </c>
      <c r="E22" s="134" t="s">
        <v>959</v>
      </c>
      <c r="F22" s="134" t="s">
        <v>961</v>
      </c>
    </row>
    <row r="23" spans="1:7" ht="20.25" customHeight="1">
      <c r="A23" s="991">
        <v>2010</v>
      </c>
      <c r="B23" s="1490" t="s">
        <v>1384</v>
      </c>
      <c r="C23" s="1487">
        <v>97</v>
      </c>
      <c r="D23" s="1480">
        <v>53</v>
      </c>
      <c r="E23" s="1480">
        <v>628</v>
      </c>
      <c r="F23" s="1480">
        <v>2863</v>
      </c>
    </row>
    <row r="24" spans="1:7" ht="20.25" customHeight="1">
      <c r="A24" s="805">
        <v>2011</v>
      </c>
      <c r="B24" s="1490" t="s">
        <v>1384</v>
      </c>
      <c r="C24" s="1487">
        <v>97</v>
      </c>
      <c r="D24" s="1480">
        <v>53</v>
      </c>
      <c r="E24" s="1480">
        <v>628</v>
      </c>
      <c r="F24" s="1480">
        <v>2863</v>
      </c>
    </row>
    <row r="25" spans="1:7" ht="20.25" customHeight="1">
      <c r="A25" s="805">
        <v>2012</v>
      </c>
      <c r="B25" s="1490" t="s">
        <v>1384</v>
      </c>
      <c r="C25" s="1487">
        <v>97</v>
      </c>
      <c r="D25" s="1480">
        <v>53</v>
      </c>
      <c r="E25" s="1480">
        <v>628</v>
      </c>
      <c r="F25" s="1480">
        <v>2863</v>
      </c>
    </row>
    <row r="26" spans="1:7" ht="20.25" customHeight="1">
      <c r="A26" s="805">
        <v>2013</v>
      </c>
      <c r="B26" s="1490" t="s">
        <v>1384</v>
      </c>
      <c r="C26" s="1487">
        <v>97</v>
      </c>
      <c r="D26" s="1480">
        <v>60</v>
      </c>
      <c r="E26" s="1480">
        <v>661</v>
      </c>
      <c r="F26" s="1480">
        <v>3378</v>
      </c>
    </row>
    <row r="27" spans="1:7" ht="20.25" customHeight="1">
      <c r="A27" s="992">
        <v>2014</v>
      </c>
      <c r="B27" s="111" t="s">
        <v>1384</v>
      </c>
      <c r="C27" s="442">
        <v>97</v>
      </c>
      <c r="D27" s="443">
        <v>60</v>
      </c>
      <c r="E27" s="443">
        <v>661</v>
      </c>
      <c r="F27" s="443">
        <v>3378</v>
      </c>
    </row>
    <row r="28" spans="1:7" ht="12" customHeight="1">
      <c r="A28" s="678"/>
      <c r="D28" s="1063" t="s">
        <v>1276</v>
      </c>
      <c r="E28" s="1298" t="s">
        <v>294</v>
      </c>
      <c r="F28" s="1297"/>
    </row>
    <row r="29" spans="1:7">
      <c r="D29" s="1096"/>
      <c r="E29" s="1096" t="s">
        <v>295</v>
      </c>
      <c r="F29" s="319"/>
    </row>
    <row r="30" spans="1:7">
      <c r="E30" s="1883" t="s">
        <v>117</v>
      </c>
      <c r="F30" s="1883"/>
      <c r="G30" s="1883"/>
    </row>
    <row r="31" spans="1:7">
      <c r="E31" s="1883"/>
      <c r="F31" s="1883"/>
      <c r="G31" s="1883"/>
    </row>
  </sheetData>
  <mergeCells count="15">
    <mergeCell ref="A11:A12"/>
    <mergeCell ref="A9:A10"/>
    <mergeCell ref="A7:A8"/>
    <mergeCell ref="A1:F1"/>
    <mergeCell ref="A2:F2"/>
    <mergeCell ref="F4:F5"/>
    <mergeCell ref="D4:E4"/>
    <mergeCell ref="A4:A5"/>
    <mergeCell ref="B4:B5"/>
    <mergeCell ref="C4:C5"/>
    <mergeCell ref="A15:A16"/>
    <mergeCell ref="E30:G31"/>
    <mergeCell ref="A20:F20"/>
    <mergeCell ref="A13:A14"/>
    <mergeCell ref="A19:F19"/>
  </mergeCells>
  <phoneticPr fontId="0" type="noConversion"/>
  <printOptions horizontalCentered="1"/>
  <pageMargins left="0.1" right="0.1" top="0.4" bottom="0.1" header="0.24" footer="0.1"/>
  <pageSetup paperSize="9" orientation="landscape" blackAndWhite="1" r:id="rId1"/>
  <headerFooter alignWithMargins="0"/>
</worksheet>
</file>

<file path=xl/worksheets/sheet90.xml><?xml version="1.0" encoding="utf-8"?>
<worksheet xmlns="http://schemas.openxmlformats.org/spreadsheetml/2006/main" xmlns:r="http://schemas.openxmlformats.org/officeDocument/2006/relationships">
  <dimension ref="A1:K35"/>
  <sheetViews>
    <sheetView topLeftCell="B1" workbookViewId="0">
      <selection activeCell="K35" sqref="K35"/>
    </sheetView>
  </sheetViews>
  <sheetFormatPr defaultRowHeight="12.75"/>
  <cols>
    <col min="1" max="1" width="4.5703125" customWidth="1"/>
    <col min="2" max="2" width="20.7109375" customWidth="1"/>
    <col min="3" max="11" width="12.7109375" customWidth="1"/>
    <col min="12" max="12" width="16.42578125" customWidth="1"/>
    <col min="13" max="13" width="10.85546875" customWidth="1"/>
    <col min="14" max="14" width="13.42578125" customWidth="1"/>
  </cols>
  <sheetData>
    <row r="1" spans="1:11" ht="14.25" customHeight="1">
      <c r="A1" s="1825" t="s">
        <v>552</v>
      </c>
      <c r="B1" s="1825"/>
      <c r="C1" s="1825"/>
      <c r="D1" s="1825"/>
      <c r="E1" s="1825"/>
      <c r="F1" s="1825"/>
      <c r="G1" s="1825"/>
      <c r="H1" s="1825"/>
      <c r="I1" s="1825"/>
      <c r="J1" s="1825"/>
      <c r="K1" s="1644"/>
    </row>
    <row r="2" spans="1:11" ht="15.75" customHeight="1">
      <c r="A2" s="2338" t="str">
        <f>CONCATENATE("Length of Roads maintained by different agencies in the Blocks of ",District!$A$1," for the year ",District!B3)</f>
        <v>Length of Roads maintained by different agencies in the Blocks of Purba Medinipur for the year 2013-14</v>
      </c>
      <c r="B2" s="2338"/>
      <c r="C2" s="2338"/>
      <c r="D2" s="2338"/>
      <c r="E2" s="2338"/>
      <c r="F2" s="2338"/>
      <c r="G2" s="2338"/>
      <c r="H2" s="2338"/>
      <c r="I2" s="2338"/>
      <c r="J2" s="2338"/>
      <c r="K2" s="1653"/>
    </row>
    <row r="3" spans="1:11" ht="15.95" customHeight="1">
      <c r="B3" s="4"/>
      <c r="C3" s="4" t="s">
        <v>1186</v>
      </c>
      <c r="D3" s="4"/>
      <c r="E3" s="4"/>
      <c r="F3" s="4"/>
      <c r="G3" s="4"/>
      <c r="J3" s="194" t="s">
        <v>266</v>
      </c>
      <c r="K3" s="204"/>
    </row>
    <row r="4" spans="1:11" ht="15" customHeight="1">
      <c r="A4" s="1833" t="s">
        <v>166</v>
      </c>
      <c r="B4" s="1833" t="s">
        <v>27</v>
      </c>
      <c r="C4" s="1866" t="s">
        <v>267</v>
      </c>
      <c r="D4" s="1906"/>
      <c r="E4" s="2433" t="s">
        <v>268</v>
      </c>
      <c r="F4" s="2433"/>
      <c r="G4" s="1966" t="s">
        <v>1185</v>
      </c>
      <c r="H4" s="1967"/>
      <c r="I4" s="2203" t="s">
        <v>124</v>
      </c>
      <c r="J4" s="1842"/>
      <c r="K4" s="875"/>
    </row>
    <row r="5" spans="1:11" ht="12.75" customHeight="1">
      <c r="A5" s="1870"/>
      <c r="B5" s="1870"/>
      <c r="C5" s="1860"/>
      <c r="D5" s="1907"/>
      <c r="E5" s="2433"/>
      <c r="F5" s="2433"/>
      <c r="G5" s="2381"/>
      <c r="H5" s="2188"/>
      <c r="I5" s="2431"/>
      <c r="J5" s="2432"/>
      <c r="K5" s="875"/>
    </row>
    <row r="6" spans="1:11" ht="15" customHeight="1">
      <c r="A6" s="1834"/>
      <c r="B6" s="1834"/>
      <c r="C6" s="164" t="s">
        <v>938</v>
      </c>
      <c r="D6" s="133" t="s">
        <v>413</v>
      </c>
      <c r="E6" s="162" t="s">
        <v>938</v>
      </c>
      <c r="F6" s="133" t="s">
        <v>413</v>
      </c>
      <c r="G6" s="164" t="s">
        <v>938</v>
      </c>
      <c r="H6" s="133" t="s">
        <v>413</v>
      </c>
      <c r="I6" s="133" t="s">
        <v>938</v>
      </c>
      <c r="J6" s="133" t="s">
        <v>413</v>
      </c>
      <c r="K6" s="1652"/>
    </row>
    <row r="7" spans="1:11" ht="14.25" customHeight="1">
      <c r="A7" s="134" t="s">
        <v>955</v>
      </c>
      <c r="B7" s="134" t="s">
        <v>956</v>
      </c>
      <c r="C7" s="137" t="s">
        <v>957</v>
      </c>
      <c r="D7" s="134" t="s">
        <v>958</v>
      </c>
      <c r="E7" s="135" t="s">
        <v>959</v>
      </c>
      <c r="F7" s="134" t="s">
        <v>961</v>
      </c>
      <c r="G7" s="137" t="s">
        <v>962</v>
      </c>
      <c r="H7" s="134" t="s">
        <v>990</v>
      </c>
      <c r="I7" s="134" t="s">
        <v>991</v>
      </c>
      <c r="J7" s="134" t="s">
        <v>992</v>
      </c>
      <c r="K7" s="555"/>
    </row>
    <row r="8" spans="1:11" ht="16.5" customHeight="1">
      <c r="A8" s="788">
        <v>1</v>
      </c>
      <c r="B8" s="598" t="s">
        <v>200</v>
      </c>
      <c r="C8" s="1508">
        <v>50</v>
      </c>
      <c r="D8" s="145" t="s">
        <v>1384</v>
      </c>
      <c r="E8" s="1216">
        <v>75.25</v>
      </c>
      <c r="F8" s="1573" t="s">
        <v>1384</v>
      </c>
      <c r="G8" s="1772">
        <v>466</v>
      </c>
      <c r="H8" s="142" t="s">
        <v>1384</v>
      </c>
      <c r="I8" s="142">
        <v>25</v>
      </c>
      <c r="J8" s="758" t="s">
        <v>1384</v>
      </c>
      <c r="K8" s="1659"/>
    </row>
    <row r="9" spans="1:11" ht="16.5" customHeight="1">
      <c r="A9" s="788">
        <v>2</v>
      </c>
      <c r="B9" s="598" t="s">
        <v>1386</v>
      </c>
      <c r="C9" s="1508">
        <v>30</v>
      </c>
      <c r="D9" s="145" t="s">
        <v>1384</v>
      </c>
      <c r="E9" s="1216">
        <v>41</v>
      </c>
      <c r="F9" s="1573" t="s">
        <v>1384</v>
      </c>
      <c r="G9" s="1772">
        <v>280</v>
      </c>
      <c r="H9" s="142">
        <v>4</v>
      </c>
      <c r="I9" s="142">
        <v>17.5</v>
      </c>
      <c r="J9" s="758" t="s">
        <v>1384</v>
      </c>
      <c r="K9" s="1659"/>
    </row>
    <row r="10" spans="1:11" ht="16.5" customHeight="1">
      <c r="A10" s="788">
        <v>3</v>
      </c>
      <c r="B10" s="598" t="s">
        <v>1388</v>
      </c>
      <c r="C10" s="1508">
        <v>64.400000000000006</v>
      </c>
      <c r="D10" s="145" t="s">
        <v>1384</v>
      </c>
      <c r="E10" s="1216">
        <v>10</v>
      </c>
      <c r="F10" s="142">
        <v>8</v>
      </c>
      <c r="G10" s="1772">
        <v>872</v>
      </c>
      <c r="H10" s="675">
        <v>2</v>
      </c>
      <c r="I10" s="142">
        <v>42</v>
      </c>
      <c r="J10" s="758" t="s">
        <v>1384</v>
      </c>
      <c r="K10" s="1659"/>
    </row>
    <row r="11" spans="1:11" ht="16.5" customHeight="1">
      <c r="A11" s="788">
        <v>4</v>
      </c>
      <c r="B11" s="278" t="s">
        <v>1385</v>
      </c>
      <c r="C11" s="1508">
        <v>18</v>
      </c>
      <c r="D11" s="145" t="s">
        <v>1384</v>
      </c>
      <c r="E11" s="1216">
        <v>169.09</v>
      </c>
      <c r="F11" s="110" t="s">
        <v>1384</v>
      </c>
      <c r="G11" s="1772">
        <v>706</v>
      </c>
      <c r="H11" s="1277" t="s">
        <v>1384</v>
      </c>
      <c r="I11" s="142">
        <v>21.95</v>
      </c>
      <c r="J11" s="758" t="s">
        <v>1384</v>
      </c>
      <c r="K11" s="1659"/>
    </row>
    <row r="12" spans="1:11" ht="16.5" customHeight="1">
      <c r="A12" s="788">
        <v>5</v>
      </c>
      <c r="B12" s="598" t="s">
        <v>1390</v>
      </c>
      <c r="C12" s="1508">
        <v>30</v>
      </c>
      <c r="D12" s="145" t="s">
        <v>1384</v>
      </c>
      <c r="E12" s="1216">
        <v>33.159999999999997</v>
      </c>
      <c r="F12" s="110">
        <v>48.84</v>
      </c>
      <c r="G12" s="1772">
        <v>274</v>
      </c>
      <c r="H12" s="142">
        <v>15</v>
      </c>
      <c r="I12" s="142">
        <v>13.89</v>
      </c>
      <c r="J12" s="758" t="s">
        <v>1384</v>
      </c>
      <c r="K12" s="1659"/>
    </row>
    <row r="13" spans="1:11" ht="16.5" customHeight="1">
      <c r="A13" s="788">
        <v>6</v>
      </c>
      <c r="B13" s="598" t="s">
        <v>1391</v>
      </c>
      <c r="C13" s="1508">
        <v>110</v>
      </c>
      <c r="D13" s="145" t="s">
        <v>1384</v>
      </c>
      <c r="E13" s="1216">
        <v>147.07</v>
      </c>
      <c r="F13" s="110" t="s">
        <v>1384</v>
      </c>
      <c r="G13" s="1772">
        <v>459</v>
      </c>
      <c r="H13" s="675" t="s">
        <v>1384</v>
      </c>
      <c r="I13" s="142">
        <v>26.2</v>
      </c>
      <c r="J13" s="758" t="s">
        <v>1384</v>
      </c>
      <c r="K13" s="1659"/>
    </row>
    <row r="14" spans="1:11" ht="16.5" customHeight="1">
      <c r="A14" s="788">
        <v>7</v>
      </c>
      <c r="B14" s="598" t="s">
        <v>1392</v>
      </c>
      <c r="C14" s="1508">
        <v>21</v>
      </c>
      <c r="D14" s="145" t="s">
        <v>1384</v>
      </c>
      <c r="E14" s="1216">
        <v>89.3</v>
      </c>
      <c r="F14" s="110" t="s">
        <v>1384</v>
      </c>
      <c r="G14" s="1772">
        <v>520</v>
      </c>
      <c r="H14" s="142">
        <v>31</v>
      </c>
      <c r="I14" s="142">
        <v>22.2</v>
      </c>
      <c r="J14" s="758" t="s">
        <v>1384</v>
      </c>
      <c r="K14" s="1659"/>
    </row>
    <row r="15" spans="1:11" ht="16.5" customHeight="1">
      <c r="A15" s="788">
        <v>8</v>
      </c>
      <c r="B15" s="598" t="s">
        <v>1393</v>
      </c>
      <c r="C15" s="1508">
        <v>38</v>
      </c>
      <c r="D15" s="145" t="s">
        <v>1384</v>
      </c>
      <c r="E15" s="1216">
        <v>158</v>
      </c>
      <c r="F15" s="110" t="s">
        <v>1384</v>
      </c>
      <c r="G15" s="1772">
        <v>490</v>
      </c>
      <c r="H15" s="142">
        <v>125</v>
      </c>
      <c r="I15" s="142">
        <v>24.58</v>
      </c>
      <c r="J15" s="758" t="s">
        <v>1384</v>
      </c>
      <c r="K15" s="1659"/>
    </row>
    <row r="16" spans="1:11" ht="16.5" customHeight="1">
      <c r="A16" s="788">
        <v>9</v>
      </c>
      <c r="B16" s="598" t="s">
        <v>1395</v>
      </c>
      <c r="C16" s="1508">
        <v>29</v>
      </c>
      <c r="D16" s="145" t="s">
        <v>1384</v>
      </c>
      <c r="E16" s="1216">
        <v>60.75</v>
      </c>
      <c r="F16" s="110" t="s">
        <v>1384</v>
      </c>
      <c r="G16" s="1772">
        <v>498</v>
      </c>
      <c r="H16" s="675">
        <v>2</v>
      </c>
      <c r="I16" s="142">
        <v>59.8</v>
      </c>
      <c r="J16" s="758" t="s">
        <v>1384</v>
      </c>
      <c r="K16" s="1659"/>
    </row>
    <row r="17" spans="1:11" ht="16.5" customHeight="1">
      <c r="A17" s="788">
        <v>10</v>
      </c>
      <c r="B17" s="598" t="s">
        <v>1396</v>
      </c>
      <c r="C17" s="1508">
        <v>12</v>
      </c>
      <c r="D17" s="145" t="s">
        <v>1384</v>
      </c>
      <c r="E17" s="1216">
        <v>74.45</v>
      </c>
      <c r="F17" s="110" t="s">
        <v>1384</v>
      </c>
      <c r="G17" s="1772">
        <v>828</v>
      </c>
      <c r="H17" s="675" t="s">
        <v>1384</v>
      </c>
      <c r="I17" s="142">
        <v>40.83</v>
      </c>
      <c r="J17" s="758" t="s">
        <v>1384</v>
      </c>
      <c r="K17" s="1659"/>
    </row>
    <row r="18" spans="1:11" ht="16.5" customHeight="1">
      <c r="A18" s="788">
        <v>11</v>
      </c>
      <c r="B18" s="598" t="s">
        <v>1397</v>
      </c>
      <c r="C18" s="1508">
        <v>23</v>
      </c>
      <c r="D18" s="145" t="s">
        <v>1384</v>
      </c>
      <c r="E18" s="1216">
        <v>65</v>
      </c>
      <c r="F18" s="110" t="s">
        <v>1384</v>
      </c>
      <c r="G18" s="1772">
        <v>190</v>
      </c>
      <c r="H18" s="142">
        <v>7</v>
      </c>
      <c r="I18" s="142">
        <v>17.760000000000002</v>
      </c>
      <c r="J18" s="758" t="s">
        <v>1384</v>
      </c>
      <c r="K18" s="1659"/>
    </row>
    <row r="19" spans="1:11" ht="16.5" customHeight="1">
      <c r="A19" s="788">
        <v>12</v>
      </c>
      <c r="B19" s="598" t="s">
        <v>1399</v>
      </c>
      <c r="C19" s="1508">
        <v>35</v>
      </c>
      <c r="D19" s="145" t="s">
        <v>1384</v>
      </c>
      <c r="E19" s="1216">
        <v>122.09</v>
      </c>
      <c r="F19" s="142">
        <v>1</v>
      </c>
      <c r="G19" s="1772">
        <v>75</v>
      </c>
      <c r="H19" s="142">
        <v>4</v>
      </c>
      <c r="I19" s="142">
        <v>15.75</v>
      </c>
      <c r="J19" s="758" t="s">
        <v>1384</v>
      </c>
      <c r="K19" s="1659"/>
    </row>
    <row r="20" spans="1:11" ht="16.5" customHeight="1">
      <c r="A20" s="788">
        <v>13</v>
      </c>
      <c r="B20" s="598" t="s">
        <v>1269</v>
      </c>
      <c r="C20" s="1508">
        <v>39</v>
      </c>
      <c r="D20" s="145" t="s">
        <v>1384</v>
      </c>
      <c r="E20" s="1216">
        <v>34.64</v>
      </c>
      <c r="F20" s="110">
        <v>8.36</v>
      </c>
      <c r="G20" s="1772">
        <v>580</v>
      </c>
      <c r="H20" s="142">
        <v>269</v>
      </c>
      <c r="I20" s="142">
        <v>25.52</v>
      </c>
      <c r="J20" s="758" t="s">
        <v>1384</v>
      </c>
      <c r="K20" s="1659"/>
    </row>
    <row r="21" spans="1:11" ht="16.5" customHeight="1">
      <c r="A21" s="788">
        <v>14</v>
      </c>
      <c r="B21" s="598" t="s">
        <v>1270</v>
      </c>
      <c r="C21" s="1508">
        <v>35</v>
      </c>
      <c r="D21" s="145" t="s">
        <v>1384</v>
      </c>
      <c r="E21" s="1216">
        <v>38.42</v>
      </c>
      <c r="F21" s="110" t="s">
        <v>1384</v>
      </c>
      <c r="G21" s="1772">
        <v>144</v>
      </c>
      <c r="H21" s="142" t="s">
        <v>1384</v>
      </c>
      <c r="I21" s="142">
        <v>28.2</v>
      </c>
      <c r="J21" s="758" t="s">
        <v>1384</v>
      </c>
      <c r="K21" s="1659"/>
    </row>
    <row r="22" spans="1:11" ht="16.5" customHeight="1">
      <c r="A22" s="788">
        <v>15</v>
      </c>
      <c r="B22" s="598" t="s">
        <v>1412</v>
      </c>
      <c r="C22" s="1508">
        <v>47</v>
      </c>
      <c r="D22" s="145" t="s">
        <v>1384</v>
      </c>
      <c r="E22" s="1216">
        <v>59.5</v>
      </c>
      <c r="F22" s="110" t="s">
        <v>1384</v>
      </c>
      <c r="G22" s="1772">
        <v>950</v>
      </c>
      <c r="H22" s="142">
        <v>48</v>
      </c>
      <c r="I22" s="142">
        <v>20.55</v>
      </c>
      <c r="J22" s="758" t="s">
        <v>1384</v>
      </c>
      <c r="K22" s="1659"/>
    </row>
    <row r="23" spans="1:11" ht="16.5" customHeight="1">
      <c r="A23" s="788">
        <v>16</v>
      </c>
      <c r="B23" s="598" t="s">
        <v>1413</v>
      </c>
      <c r="C23" s="1508">
        <v>78</v>
      </c>
      <c r="D23" s="145" t="s">
        <v>1384</v>
      </c>
      <c r="E23" s="1216">
        <v>51.4</v>
      </c>
      <c r="F23" s="110" t="s">
        <v>1384</v>
      </c>
      <c r="G23" s="1772">
        <v>348</v>
      </c>
      <c r="H23" s="142">
        <v>182</v>
      </c>
      <c r="I23" s="142">
        <v>45.07</v>
      </c>
      <c r="J23" s="758" t="s">
        <v>1384</v>
      </c>
      <c r="K23" s="1659"/>
    </row>
    <row r="24" spans="1:11" ht="16.5" customHeight="1">
      <c r="A24" s="788">
        <v>17</v>
      </c>
      <c r="B24" s="598" t="s">
        <v>1414</v>
      </c>
      <c r="C24" s="1508">
        <v>38</v>
      </c>
      <c r="D24" s="145" t="s">
        <v>1384</v>
      </c>
      <c r="E24" s="1216">
        <v>52.01</v>
      </c>
      <c r="F24" s="110" t="s">
        <v>1384</v>
      </c>
      <c r="G24" s="1772">
        <v>398</v>
      </c>
      <c r="H24" s="142">
        <v>158</v>
      </c>
      <c r="I24" s="142">
        <v>34.06</v>
      </c>
      <c r="J24" s="758" t="s">
        <v>1384</v>
      </c>
      <c r="K24" s="1659"/>
    </row>
    <row r="25" spans="1:11" ht="16.5" customHeight="1">
      <c r="A25" s="788">
        <v>18</v>
      </c>
      <c r="B25" s="598" t="s">
        <v>1419</v>
      </c>
      <c r="C25" s="1508">
        <v>60</v>
      </c>
      <c r="D25" s="145" t="s">
        <v>1384</v>
      </c>
      <c r="E25" s="1216">
        <v>27.3</v>
      </c>
      <c r="F25" s="142">
        <v>44.7</v>
      </c>
      <c r="G25" s="1772">
        <v>690</v>
      </c>
      <c r="H25" s="142">
        <v>30</v>
      </c>
      <c r="I25" s="142">
        <v>22.92</v>
      </c>
      <c r="J25" s="758" t="s">
        <v>1384</v>
      </c>
      <c r="K25" s="1659"/>
    </row>
    <row r="26" spans="1:11" ht="16.5" customHeight="1">
      <c r="A26" s="788">
        <v>19</v>
      </c>
      <c r="B26" s="598" t="s">
        <v>1420</v>
      </c>
      <c r="C26" s="1508">
        <v>46</v>
      </c>
      <c r="D26" s="145" t="s">
        <v>1384</v>
      </c>
      <c r="E26" s="1216">
        <v>66.8</v>
      </c>
      <c r="F26" s="110" t="s">
        <v>1384</v>
      </c>
      <c r="G26" s="1772">
        <v>160</v>
      </c>
      <c r="H26" s="142">
        <v>511</v>
      </c>
      <c r="I26" s="142">
        <v>60.07</v>
      </c>
      <c r="J26" s="758" t="s">
        <v>1384</v>
      </c>
      <c r="K26" s="1659"/>
    </row>
    <row r="27" spans="1:11" ht="16.5" customHeight="1">
      <c r="A27" s="788">
        <v>20</v>
      </c>
      <c r="B27" s="598" t="s">
        <v>1422</v>
      </c>
      <c r="C27" s="1508">
        <v>29</v>
      </c>
      <c r="D27" s="145" t="s">
        <v>1384</v>
      </c>
      <c r="E27" s="1216">
        <v>39.03</v>
      </c>
      <c r="F27" s="110">
        <v>43.97</v>
      </c>
      <c r="G27" s="1772">
        <v>573</v>
      </c>
      <c r="H27" s="142">
        <v>101</v>
      </c>
      <c r="I27" s="142">
        <v>15.65</v>
      </c>
      <c r="J27" s="758" t="s">
        <v>1384</v>
      </c>
      <c r="K27" s="1659"/>
    </row>
    <row r="28" spans="1:11" ht="16.5" customHeight="1">
      <c r="A28" s="788">
        <v>21</v>
      </c>
      <c r="B28" s="598" t="s">
        <v>1423</v>
      </c>
      <c r="C28" s="1508">
        <v>46</v>
      </c>
      <c r="D28" s="145" t="s">
        <v>1384</v>
      </c>
      <c r="E28" s="1216">
        <v>25.5</v>
      </c>
      <c r="F28" s="1573" t="s">
        <v>1384</v>
      </c>
      <c r="G28" s="1772">
        <v>184</v>
      </c>
      <c r="H28" s="142">
        <v>20</v>
      </c>
      <c r="I28" s="142">
        <v>18.8</v>
      </c>
      <c r="J28" s="758" t="s">
        <v>1384</v>
      </c>
      <c r="K28" s="1659"/>
    </row>
    <row r="29" spans="1:11" ht="16.5" customHeight="1">
      <c r="A29" s="788">
        <v>22</v>
      </c>
      <c r="B29" s="598" t="s">
        <v>1425</v>
      </c>
      <c r="C29" s="1508">
        <v>37</v>
      </c>
      <c r="D29" s="145" t="s">
        <v>1384</v>
      </c>
      <c r="E29" s="1216">
        <v>27</v>
      </c>
      <c r="F29" s="142">
        <v>19</v>
      </c>
      <c r="G29" s="1772">
        <v>480</v>
      </c>
      <c r="H29" s="142" t="s">
        <v>1384</v>
      </c>
      <c r="I29" s="142">
        <v>41</v>
      </c>
      <c r="J29" s="758" t="s">
        <v>1384</v>
      </c>
      <c r="K29" s="1659"/>
    </row>
    <row r="30" spans="1:11" ht="16.5" customHeight="1">
      <c r="A30" s="788">
        <v>23</v>
      </c>
      <c r="B30" s="598" t="s">
        <v>1426</v>
      </c>
      <c r="C30" s="1508">
        <v>38</v>
      </c>
      <c r="D30" s="145" t="s">
        <v>1384</v>
      </c>
      <c r="E30" s="1216">
        <v>95.93</v>
      </c>
      <c r="F30" s="1573" t="s">
        <v>1384</v>
      </c>
      <c r="G30" s="1772">
        <v>290</v>
      </c>
      <c r="H30" s="142">
        <v>62</v>
      </c>
      <c r="I30" s="142">
        <v>53.86</v>
      </c>
      <c r="J30" s="758" t="s">
        <v>1384</v>
      </c>
      <c r="K30" s="1659"/>
    </row>
    <row r="31" spans="1:11" ht="16.5" customHeight="1">
      <c r="A31" s="788">
        <v>24</v>
      </c>
      <c r="B31" s="598" t="s">
        <v>263</v>
      </c>
      <c r="C31" s="1508">
        <v>29</v>
      </c>
      <c r="D31" s="145" t="s">
        <v>1384</v>
      </c>
      <c r="E31" s="1216">
        <v>66.849999999999994</v>
      </c>
      <c r="F31" s="110" t="s">
        <v>1384</v>
      </c>
      <c r="G31" s="1772">
        <v>286</v>
      </c>
      <c r="H31" s="142" t="s">
        <v>1384</v>
      </c>
      <c r="I31" s="142">
        <v>37.25</v>
      </c>
      <c r="J31" s="758" t="s">
        <v>1384</v>
      </c>
      <c r="K31" s="1659"/>
    </row>
    <row r="32" spans="1:11" ht="16.5" customHeight="1">
      <c r="A32" s="789">
        <v>25</v>
      </c>
      <c r="B32" s="941" t="s">
        <v>1429</v>
      </c>
      <c r="C32" s="847">
        <v>36</v>
      </c>
      <c r="D32" s="587" t="s">
        <v>1384</v>
      </c>
      <c r="E32" s="1669">
        <v>41.72</v>
      </c>
      <c r="F32" s="143">
        <v>6</v>
      </c>
      <c r="G32" s="1773">
        <v>508</v>
      </c>
      <c r="H32" s="143">
        <v>805</v>
      </c>
      <c r="I32" s="143">
        <v>33.86</v>
      </c>
      <c r="J32" s="775" t="s">
        <v>1384</v>
      </c>
      <c r="K32" s="1659"/>
    </row>
    <row r="33" spans="2:11" ht="13.5" customHeight="1">
      <c r="B33" s="730"/>
      <c r="E33" s="559"/>
      <c r="F33" s="330"/>
      <c r="G33" s="1063" t="s">
        <v>455</v>
      </c>
      <c r="H33" s="1095" t="s">
        <v>626</v>
      </c>
      <c r="K33" s="7"/>
    </row>
    <row r="34" spans="2:11">
      <c r="B34" s="704"/>
      <c r="G34" s="1063" t="s">
        <v>456</v>
      </c>
      <c r="H34" s="1095" t="s">
        <v>137</v>
      </c>
      <c r="I34" s="1095"/>
    </row>
    <row r="35" spans="2:11">
      <c r="H35" s="1096"/>
      <c r="I35" s="1095"/>
    </row>
  </sheetData>
  <mergeCells count="8">
    <mergeCell ref="I4:J5"/>
    <mergeCell ref="A2:J2"/>
    <mergeCell ref="A1:J1"/>
    <mergeCell ref="G4:H5"/>
    <mergeCell ref="E4:F5"/>
    <mergeCell ref="C4:D5"/>
    <mergeCell ref="A4:A6"/>
    <mergeCell ref="B4:B6"/>
  </mergeCells>
  <phoneticPr fontId="0" type="noConversion"/>
  <printOptions horizontalCentered="1"/>
  <pageMargins left="0.51" right="0.1" top="0.28000000000000003" bottom="0.1" header="0.4" footer="0.1"/>
  <pageSetup paperSize="9" orientation="landscape" blackAndWhite="1" r:id="rId1"/>
  <headerFooter alignWithMargins="0"/>
</worksheet>
</file>

<file path=xl/worksheets/sheet91.xml><?xml version="1.0" encoding="utf-8"?>
<worksheet xmlns="http://schemas.openxmlformats.org/spreadsheetml/2006/main" xmlns:r="http://schemas.openxmlformats.org/officeDocument/2006/relationships">
  <dimension ref="A1:H34"/>
  <sheetViews>
    <sheetView workbookViewId="0">
      <selection activeCell="K35" sqref="K35"/>
    </sheetView>
  </sheetViews>
  <sheetFormatPr defaultRowHeight="12.75"/>
  <cols>
    <col min="1" max="1" width="4.28515625" customWidth="1"/>
    <col min="2" max="2" width="17" customWidth="1"/>
    <col min="3" max="3" width="11.5703125" customWidth="1"/>
    <col min="4" max="4" width="20.7109375" customWidth="1"/>
    <col min="5" max="5" width="27" customWidth="1"/>
    <col min="6" max="6" width="10.7109375" customWidth="1"/>
  </cols>
  <sheetData>
    <row r="1" spans="1:6" ht="15.75" customHeight="1">
      <c r="A1" s="2142" t="s">
        <v>551</v>
      </c>
      <c r="B1" s="2142"/>
      <c r="C1" s="2142"/>
      <c r="D1" s="2142"/>
      <c r="E1" s="2142"/>
    </row>
    <row r="2" spans="1:6" ht="36" customHeight="1">
      <c r="A2" s="2379" t="str">
        <f>CONCATENATE("Transport Facilities  in the Blocks of ",District!$A$1," 
for the year ",District!B3)</f>
        <v>Transport Facilities  in the Blocks of Purba Medinipur 
for the year 2013-14</v>
      </c>
      <c r="B2" s="2379"/>
      <c r="C2" s="2379"/>
      <c r="D2" s="2379"/>
      <c r="E2" s="2379"/>
      <c r="F2" s="27"/>
    </row>
    <row r="3" spans="1:6" ht="18.75" customHeight="1">
      <c r="A3" s="1833" t="s">
        <v>1141</v>
      </c>
      <c r="B3" s="1833" t="s">
        <v>27</v>
      </c>
      <c r="C3" s="1833" t="s">
        <v>41</v>
      </c>
      <c r="D3" s="1833" t="s">
        <v>42</v>
      </c>
      <c r="E3" s="1833" t="s">
        <v>116</v>
      </c>
    </row>
    <row r="4" spans="1:6" ht="15.75" customHeight="1">
      <c r="A4" s="1834"/>
      <c r="B4" s="1834"/>
      <c r="C4" s="1834"/>
      <c r="D4" s="2420"/>
      <c r="E4" s="2420"/>
    </row>
    <row r="5" spans="1:6" ht="20.25" customHeight="1">
      <c r="A5" s="251" t="s">
        <v>955</v>
      </c>
      <c r="B5" s="251" t="s">
        <v>956</v>
      </c>
      <c r="C5" s="417" t="s">
        <v>957</v>
      </c>
      <c r="D5" s="251" t="s">
        <v>958</v>
      </c>
      <c r="E5" s="252" t="s">
        <v>959</v>
      </c>
    </row>
    <row r="6" spans="1:6" ht="24" customHeight="1">
      <c r="A6" s="848">
        <v>1</v>
      </c>
      <c r="B6" s="598" t="s">
        <v>200</v>
      </c>
      <c r="C6" s="434" t="s">
        <v>1384</v>
      </c>
      <c r="D6" s="110">
        <v>36</v>
      </c>
      <c r="E6" s="102">
        <v>5</v>
      </c>
    </row>
    <row r="7" spans="1:6" ht="24" customHeight="1">
      <c r="A7" s="788">
        <v>2</v>
      </c>
      <c r="B7" s="598" t="s">
        <v>1386</v>
      </c>
      <c r="C7" s="434" t="s">
        <v>1384</v>
      </c>
      <c r="D7" s="441" t="s">
        <v>1384</v>
      </c>
      <c r="E7" s="102">
        <v>5</v>
      </c>
    </row>
    <row r="8" spans="1:6" ht="24" customHeight="1">
      <c r="A8" s="788">
        <v>3</v>
      </c>
      <c r="B8" s="598" t="s">
        <v>1388</v>
      </c>
      <c r="C8" s="115">
        <v>15</v>
      </c>
      <c r="D8" s="110">
        <v>15</v>
      </c>
      <c r="E8" s="102">
        <v>2</v>
      </c>
    </row>
    <row r="9" spans="1:6" ht="24" customHeight="1">
      <c r="A9" s="788">
        <v>4</v>
      </c>
      <c r="B9" s="598" t="s">
        <v>1385</v>
      </c>
      <c r="C9" s="115">
        <v>8</v>
      </c>
      <c r="D9" s="110">
        <v>8</v>
      </c>
      <c r="E9" s="102">
        <v>3</v>
      </c>
    </row>
    <row r="10" spans="1:6" ht="24" customHeight="1">
      <c r="A10" s="788">
        <v>5</v>
      </c>
      <c r="B10" s="598" t="s">
        <v>1390</v>
      </c>
      <c r="C10" s="115">
        <v>16</v>
      </c>
      <c r="D10" s="110">
        <v>16</v>
      </c>
      <c r="E10" s="102">
        <v>20</v>
      </c>
    </row>
    <row r="11" spans="1:6" ht="24" customHeight="1">
      <c r="A11" s="788">
        <v>6</v>
      </c>
      <c r="B11" s="598" t="s">
        <v>1391</v>
      </c>
      <c r="C11" s="115">
        <v>1</v>
      </c>
      <c r="D11" s="110">
        <v>10</v>
      </c>
      <c r="E11" s="102">
        <v>1</v>
      </c>
    </row>
    <row r="12" spans="1:6" ht="24" customHeight="1">
      <c r="A12" s="788">
        <v>7</v>
      </c>
      <c r="B12" s="598" t="s">
        <v>1392</v>
      </c>
      <c r="C12" s="115" t="s">
        <v>1384</v>
      </c>
      <c r="D12" s="110">
        <v>6</v>
      </c>
      <c r="E12" s="102">
        <v>2</v>
      </c>
    </row>
    <row r="13" spans="1:6" ht="24" customHeight="1">
      <c r="A13" s="788">
        <v>8</v>
      </c>
      <c r="B13" s="598" t="s">
        <v>1393</v>
      </c>
      <c r="C13" s="115">
        <v>5</v>
      </c>
      <c r="D13" s="110">
        <v>13</v>
      </c>
      <c r="E13" s="102">
        <v>2</v>
      </c>
    </row>
    <row r="14" spans="1:6" ht="24" customHeight="1">
      <c r="A14" s="788">
        <v>9</v>
      </c>
      <c r="B14" s="598" t="s">
        <v>1395</v>
      </c>
      <c r="C14" s="115">
        <v>6</v>
      </c>
      <c r="D14" s="110">
        <v>22</v>
      </c>
      <c r="E14" s="102">
        <v>23</v>
      </c>
    </row>
    <row r="15" spans="1:6" ht="24" customHeight="1">
      <c r="A15" s="788">
        <v>10</v>
      </c>
      <c r="B15" s="598" t="s">
        <v>1396</v>
      </c>
      <c r="C15" s="115">
        <v>1</v>
      </c>
      <c r="D15" s="1573" t="s">
        <v>1384</v>
      </c>
      <c r="E15" s="102">
        <v>14</v>
      </c>
    </row>
    <row r="16" spans="1:6" ht="24" customHeight="1">
      <c r="A16" s="788">
        <v>11</v>
      </c>
      <c r="B16" s="598" t="s">
        <v>1397</v>
      </c>
      <c r="C16" s="115">
        <v>3</v>
      </c>
      <c r="D16" s="110">
        <v>15</v>
      </c>
      <c r="E16" s="102">
        <v>5</v>
      </c>
    </row>
    <row r="17" spans="1:8" ht="24" customHeight="1">
      <c r="A17" s="788">
        <v>12</v>
      </c>
      <c r="B17" s="598" t="s">
        <v>1399</v>
      </c>
      <c r="C17" s="115">
        <v>1</v>
      </c>
      <c r="D17" s="110">
        <v>73</v>
      </c>
      <c r="E17" s="102">
        <v>7</v>
      </c>
    </row>
    <row r="18" spans="1:8" ht="24" customHeight="1">
      <c r="A18" s="788">
        <v>13</v>
      </c>
      <c r="B18" s="598" t="s">
        <v>1269</v>
      </c>
      <c r="C18" s="115">
        <v>3</v>
      </c>
      <c r="D18" s="110">
        <v>7</v>
      </c>
      <c r="E18" s="102">
        <v>32</v>
      </c>
    </row>
    <row r="19" spans="1:8" ht="24" customHeight="1">
      <c r="A19" s="788">
        <v>14</v>
      </c>
      <c r="B19" s="598" t="s">
        <v>1270</v>
      </c>
      <c r="C19" s="115" t="s">
        <v>1384</v>
      </c>
      <c r="D19" s="110">
        <v>7</v>
      </c>
      <c r="E19" s="102">
        <v>20</v>
      </c>
    </row>
    <row r="20" spans="1:8" ht="24" customHeight="1">
      <c r="A20" s="788">
        <v>15</v>
      </c>
      <c r="B20" s="598" t="s">
        <v>1412</v>
      </c>
      <c r="C20" s="115">
        <v>2</v>
      </c>
      <c r="D20" s="110">
        <v>3</v>
      </c>
      <c r="E20" s="102">
        <v>3</v>
      </c>
    </row>
    <row r="21" spans="1:8" ht="24" customHeight="1">
      <c r="A21" s="788">
        <v>16</v>
      </c>
      <c r="B21" s="598" t="s">
        <v>1413</v>
      </c>
      <c r="C21" s="115" t="s">
        <v>1384</v>
      </c>
      <c r="D21" s="110">
        <v>13</v>
      </c>
      <c r="E21" s="102">
        <v>23</v>
      </c>
    </row>
    <row r="22" spans="1:8" ht="24" customHeight="1">
      <c r="A22" s="788">
        <v>17</v>
      </c>
      <c r="B22" s="598" t="s">
        <v>1414</v>
      </c>
      <c r="C22" s="115" t="s">
        <v>1384</v>
      </c>
      <c r="D22" s="110">
        <v>3</v>
      </c>
      <c r="E22" s="102">
        <v>23</v>
      </c>
      <c r="H22" s="3"/>
    </row>
    <row r="23" spans="1:8" ht="24" customHeight="1">
      <c r="A23" s="788">
        <v>18</v>
      </c>
      <c r="B23" s="598" t="s">
        <v>1419</v>
      </c>
      <c r="C23" s="115">
        <v>4</v>
      </c>
      <c r="D23" s="110">
        <v>8</v>
      </c>
      <c r="E23" s="102">
        <v>15</v>
      </c>
    </row>
    <row r="24" spans="1:8" ht="24" customHeight="1">
      <c r="A24" s="788">
        <v>19</v>
      </c>
      <c r="B24" s="598" t="s">
        <v>1420</v>
      </c>
      <c r="C24" s="115">
        <v>3</v>
      </c>
      <c r="D24" s="110">
        <v>24</v>
      </c>
      <c r="E24" s="102">
        <v>24</v>
      </c>
    </row>
    <row r="25" spans="1:8" ht="24" customHeight="1">
      <c r="A25" s="788">
        <v>20</v>
      </c>
      <c r="B25" s="598" t="s">
        <v>1422</v>
      </c>
      <c r="C25" s="115">
        <v>2</v>
      </c>
      <c r="D25" s="110">
        <v>10</v>
      </c>
      <c r="E25" s="102">
        <v>8</v>
      </c>
    </row>
    <row r="26" spans="1:8" ht="24" customHeight="1">
      <c r="A26" s="788">
        <v>21</v>
      </c>
      <c r="B26" s="598" t="s">
        <v>1423</v>
      </c>
      <c r="C26" s="115">
        <v>1</v>
      </c>
      <c r="D26" s="110">
        <v>48</v>
      </c>
      <c r="E26" s="102">
        <v>1</v>
      </c>
    </row>
    <row r="27" spans="1:8" ht="24" customHeight="1">
      <c r="A27" s="788">
        <v>22</v>
      </c>
      <c r="B27" s="598" t="s">
        <v>1425</v>
      </c>
      <c r="C27" s="115" t="s">
        <v>1384</v>
      </c>
      <c r="D27" s="110">
        <v>7</v>
      </c>
      <c r="E27" s="102">
        <v>4</v>
      </c>
    </row>
    <row r="28" spans="1:8" ht="24" customHeight="1">
      <c r="A28" s="788">
        <v>23</v>
      </c>
      <c r="B28" s="598" t="s">
        <v>1426</v>
      </c>
      <c r="C28" s="115" t="s">
        <v>1384</v>
      </c>
      <c r="D28" s="110">
        <v>32</v>
      </c>
      <c r="E28" s="102">
        <v>3</v>
      </c>
    </row>
    <row r="29" spans="1:8" ht="24" customHeight="1">
      <c r="A29" s="788">
        <v>24</v>
      </c>
      <c r="B29" s="598" t="s">
        <v>263</v>
      </c>
      <c r="C29" s="115">
        <v>3</v>
      </c>
      <c r="D29" s="110">
        <v>6</v>
      </c>
      <c r="E29" s="102">
        <v>14</v>
      </c>
    </row>
    <row r="30" spans="1:8" ht="24" customHeight="1">
      <c r="A30" s="789">
        <v>25</v>
      </c>
      <c r="B30" s="941" t="s">
        <v>1429</v>
      </c>
      <c r="C30" s="28">
        <v>3</v>
      </c>
      <c r="D30" s="111">
        <v>3</v>
      </c>
      <c r="E30" s="116">
        <v>1</v>
      </c>
    </row>
    <row r="31" spans="1:8">
      <c r="C31" s="1063" t="s">
        <v>455</v>
      </c>
      <c r="D31" s="1779" t="s">
        <v>1725</v>
      </c>
      <c r="E31" s="1780"/>
    </row>
    <row r="32" spans="1:8">
      <c r="C32" s="1781" t="s">
        <v>456</v>
      </c>
      <c r="D32" s="2435" t="s">
        <v>1726</v>
      </c>
      <c r="E32" s="2435"/>
    </row>
    <row r="33" spans="1:5">
      <c r="C33" s="1781"/>
      <c r="D33" s="2"/>
      <c r="E33" s="2"/>
    </row>
    <row r="34" spans="1:5" ht="28.5" customHeight="1">
      <c r="A34" s="2434" t="s">
        <v>184</v>
      </c>
      <c r="B34" s="2434"/>
      <c r="C34" s="2434"/>
      <c r="D34" s="2434"/>
      <c r="E34" s="2434"/>
    </row>
  </sheetData>
  <mergeCells count="9">
    <mergeCell ref="A34:E34"/>
    <mergeCell ref="A1:E1"/>
    <mergeCell ref="A2:E2"/>
    <mergeCell ref="A3:A4"/>
    <mergeCell ref="B3:B4"/>
    <mergeCell ref="C3:C4"/>
    <mergeCell ref="D3:D4"/>
    <mergeCell ref="E3:E4"/>
    <mergeCell ref="D32:E32"/>
  </mergeCells>
  <phoneticPr fontId="0" type="noConversion"/>
  <printOptions horizontalCentered="1"/>
  <pageMargins left="0.1" right="0.1" top="0.84" bottom="0.1" header="0.39" footer="0.1"/>
  <pageSetup paperSize="9" orientation="portrait" blackAndWhite="1" r:id="rId1"/>
  <headerFooter alignWithMargins="0"/>
</worksheet>
</file>

<file path=xl/worksheets/sheet92.xml><?xml version="1.0" encoding="utf-8"?>
<worksheet xmlns="http://schemas.openxmlformats.org/spreadsheetml/2006/main" xmlns:r="http://schemas.openxmlformats.org/officeDocument/2006/relationships">
  <sheetPr codeName="Sheet1"/>
  <dimension ref="A1:C6"/>
  <sheetViews>
    <sheetView workbookViewId="0">
      <selection activeCell="P26" sqref="P26"/>
    </sheetView>
  </sheetViews>
  <sheetFormatPr defaultRowHeight="12.75"/>
  <cols>
    <col min="1" max="1" width="22.7109375" customWidth="1"/>
  </cols>
  <sheetData>
    <row r="1" spans="1:3">
      <c r="A1" t="s">
        <v>160</v>
      </c>
    </row>
    <row r="2" spans="1:3">
      <c r="A2" t="s">
        <v>152</v>
      </c>
      <c r="B2" s="16">
        <v>2014</v>
      </c>
    </row>
    <row r="3" spans="1:3">
      <c r="A3" t="s">
        <v>153</v>
      </c>
      <c r="B3" t="s">
        <v>1639</v>
      </c>
    </row>
    <row r="4" spans="1:3">
      <c r="A4" t="s">
        <v>154</v>
      </c>
      <c r="B4" s="16" t="s">
        <v>155</v>
      </c>
      <c r="C4">
        <v>2011</v>
      </c>
    </row>
    <row r="5" spans="1:3">
      <c r="A5" t="s">
        <v>152</v>
      </c>
      <c r="B5">
        <v>2014</v>
      </c>
    </row>
    <row r="6" spans="1:3">
      <c r="A6" t="s">
        <v>164</v>
      </c>
      <c r="B6">
        <v>2014</v>
      </c>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10</vt:i4>
      </vt:variant>
    </vt:vector>
  </HeadingPairs>
  <TitlesOfParts>
    <vt:vector size="102" baseType="lpstr">
      <vt:lpstr>MAP</vt:lpstr>
      <vt:lpstr>Cover Page</vt:lpstr>
      <vt:lpstr>PREFACE</vt:lpstr>
      <vt:lpstr>Contents</vt:lpstr>
      <vt:lpstr>At a glance</vt:lpstr>
      <vt:lpstr>1.1,1.2</vt:lpstr>
      <vt:lpstr>1.3,1.4</vt:lpstr>
      <vt:lpstr>2.1</vt:lpstr>
      <vt:lpstr>2.1a,2.1b</vt:lpstr>
      <vt:lpstr>2.2</vt:lpstr>
      <vt:lpstr>2.3 </vt:lpstr>
      <vt:lpstr>2.4a</vt:lpstr>
      <vt:lpstr>2.4b</vt:lpstr>
      <vt:lpstr>2.5a</vt:lpstr>
      <vt:lpstr>2.5b</vt:lpstr>
      <vt:lpstr>2.6 </vt:lpstr>
      <vt:lpstr>2.7</vt:lpstr>
      <vt:lpstr>2.8</vt:lpstr>
      <vt:lpstr>2.9</vt:lpstr>
      <vt:lpstr>2.10</vt:lpstr>
      <vt:lpstr>2.10a</vt:lpstr>
      <vt:lpstr>2.11</vt:lpstr>
      <vt:lpstr>3.1</vt:lpstr>
      <vt:lpstr>3.2</vt:lpstr>
      <vt:lpstr>3.2a</vt:lpstr>
      <vt:lpstr>3.3</vt:lpstr>
      <vt:lpstr>3.3a</vt:lpstr>
      <vt:lpstr>4.1a</vt:lpstr>
      <vt:lpstr>4.1b</vt:lpstr>
      <vt:lpstr>4.1c</vt:lpstr>
      <vt:lpstr>4.2a</vt:lpstr>
      <vt:lpstr>4.2b</vt:lpstr>
      <vt:lpstr>4.2c</vt:lpstr>
      <vt:lpstr>4.3a</vt:lpstr>
      <vt:lpstr>4.3b</vt:lpstr>
      <vt:lpstr>4.3c</vt:lpstr>
      <vt:lpstr>4.4</vt:lpstr>
      <vt:lpstr>4.5</vt:lpstr>
      <vt:lpstr>4.6</vt:lpstr>
      <vt:lpstr>4.7</vt:lpstr>
      <vt:lpstr>4.8</vt:lpstr>
      <vt:lpstr>5.1,5.1a</vt:lpstr>
      <vt:lpstr>5.1b,5.2</vt:lpstr>
      <vt:lpstr>5.3</vt:lpstr>
      <vt:lpstr>5.3a</vt:lpstr>
      <vt:lpstr>5.3b,5.3c</vt:lpstr>
      <vt:lpstr>5.3d</vt:lpstr>
      <vt:lpstr>5.3e</vt:lpstr>
      <vt:lpstr>5.4</vt:lpstr>
      <vt:lpstr>5.5,5.5a</vt:lpstr>
      <vt:lpstr>5.6,5.7,5.8</vt:lpstr>
      <vt:lpstr>6.1</vt:lpstr>
      <vt:lpstr>6.2</vt:lpstr>
      <vt:lpstr>7.1</vt:lpstr>
      <vt:lpstr>7.2,7.3</vt:lpstr>
      <vt:lpstr>8.1</vt:lpstr>
      <vt:lpstr>8.1_NR</vt:lpstr>
      <vt:lpstr>8.2</vt:lpstr>
      <vt:lpstr>8.2a</vt:lpstr>
      <vt:lpstr>8.3</vt:lpstr>
      <vt:lpstr>8.4</vt:lpstr>
      <vt:lpstr>9.1</vt:lpstr>
      <vt:lpstr>9.1_NR</vt:lpstr>
      <vt:lpstr>9.2,9.2a,9.2b</vt:lpstr>
      <vt:lpstr>10.1,10.2</vt:lpstr>
      <vt:lpstr>10.3</vt:lpstr>
      <vt:lpstr>11.1</vt:lpstr>
      <vt:lpstr>11.1a,11.2</vt:lpstr>
      <vt:lpstr>11.3,11.4</vt:lpstr>
      <vt:lpstr>12.1,12.2</vt:lpstr>
      <vt:lpstr>12.3,12.4</vt:lpstr>
      <vt:lpstr>12.5,12.6,12.7</vt:lpstr>
      <vt:lpstr>13.1</vt:lpstr>
      <vt:lpstr>13.2,13.3</vt:lpstr>
      <vt:lpstr>14.1,14.2</vt:lpstr>
      <vt:lpstr>15.1</vt:lpstr>
      <vt:lpstr>15.2</vt:lpstr>
      <vt:lpstr>Block_Level</vt:lpstr>
      <vt:lpstr>Block_Level_NR</vt:lpstr>
      <vt:lpstr>16.1</vt:lpstr>
      <vt:lpstr>17.1</vt:lpstr>
      <vt:lpstr>17.1_NR</vt:lpstr>
      <vt:lpstr>17.2</vt:lpstr>
      <vt:lpstr>18.1</vt:lpstr>
      <vt:lpstr>18.2</vt:lpstr>
      <vt:lpstr>18.3</vt:lpstr>
      <vt:lpstr>19.1</vt:lpstr>
      <vt:lpstr>20.1</vt:lpstr>
      <vt:lpstr>20.2</vt:lpstr>
      <vt:lpstr>21.1</vt:lpstr>
      <vt:lpstr>21.2</vt:lpstr>
      <vt:lpstr>District</vt:lpstr>
      <vt:lpstr>'18.2'!Print_Area</vt:lpstr>
      <vt:lpstr>'3.1'!Print_Area</vt:lpstr>
      <vt:lpstr>'4.2a'!Print_Area</vt:lpstr>
      <vt:lpstr>MAP!Print_Area</vt:lpstr>
      <vt:lpstr>'15.2'!Print_Titles</vt:lpstr>
      <vt:lpstr>'18.2'!Print_Titles</vt:lpstr>
      <vt:lpstr>'2.1'!Print_Titles</vt:lpstr>
      <vt:lpstr>'2.2'!Print_Titles</vt:lpstr>
      <vt:lpstr>'2.4a'!Print_Titles</vt:lpstr>
      <vt:lpstr>'2.4b'!Print_Titles</vt:lpstr>
    </vt:vector>
  </TitlesOfParts>
  <Company>HCL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NEWUSER</dc:creator>
  <cp:lastModifiedBy>BAES</cp:lastModifiedBy>
  <cp:lastPrinted>2016-07-05T11:15:52Z</cp:lastPrinted>
  <dcterms:created xsi:type="dcterms:W3CDTF">2007-01-18T06:47:54Z</dcterms:created>
  <dcterms:modified xsi:type="dcterms:W3CDTF">2016-07-18T08:21:36Z</dcterms:modified>
</cp:coreProperties>
</file>